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0200" yWindow="165" windowWidth="14805" windowHeight="12720" tabRatio="602" firstSheet="6" activeTab="10"/>
  </bookViews>
  <sheets>
    <sheet name="1_краснод на 2021" sheetId="9" r:id="rId1"/>
    <sheet name="1_краснодипломники" sheetId="10" r:id="rId2"/>
    <sheet name="2_Дети-сироты в СПО 2022" sheetId="11" r:id="rId3"/>
    <sheet name="2_Дети-сироты в СПО 2022 -прав" sheetId="26" r:id="rId4"/>
    <sheet name="3_Стипендии " sheetId="12" r:id="rId5"/>
    <sheet name="4_ГорпитОВЗ" sheetId="13" r:id="rId6"/>
    <sheet name="5_Сельские образование 2021" sheetId="14" r:id="rId7"/>
    <sheet name="5_Сельские образ-е 2021 (2)" sheetId="23" r:id="rId8"/>
    <sheet name="Сельские образование 2021" sheetId="28" r:id="rId9"/>
    <sheet name="6-родплата" sheetId="15" r:id="rId10"/>
    <sheet name="6.1_родплата 26.10.2021 кон" sheetId="29" r:id="rId11"/>
    <sheet name="7_дети-чабаны" sheetId="17" r:id="rId12"/>
    <sheet name="8_мед осмотр" sheetId="18" r:id="rId13"/>
    <sheet name="9_Частные сады" sheetId="19" r:id="rId14"/>
    <sheet name="10_Учебники" sheetId="20" r:id="rId15"/>
    <sheet name="11_ЛОК" sheetId="21" r:id="rId16"/>
    <sheet name="12_Расшифр.тек.ремонт" sheetId="22" r:id="rId17"/>
    <sheet name="+" sheetId="24" r:id="rId18"/>
    <sheet name="курсы" sheetId="25" r:id="rId19"/>
    <sheet name="питание (340)" sheetId="27" r:id="rId20"/>
  </sheets>
  <externalReferences>
    <externalReference r:id="rId21"/>
  </externalReferences>
  <definedNames>
    <definedName name="_xlnm.Print_Titles" localSheetId="7">'5_Сельские образ-е 2021 (2)'!$A:$B</definedName>
    <definedName name="_xlnm.Print_Titles" localSheetId="6">'5_Сельские образование 2021'!$A:$B</definedName>
    <definedName name="_xlnm.Print_Titles" localSheetId="8">'Сельские образование 2021'!$A:$B</definedName>
    <definedName name="_xlnm.Print_Area" localSheetId="17">'+'!$A$1:$E$18</definedName>
    <definedName name="_xlnm.Print_Area" localSheetId="1">'1_краснодипломники'!$A$1:$I$4</definedName>
    <definedName name="_xlnm.Print_Area" localSheetId="14">'10_Учебники'!$A$1:$K$9</definedName>
    <definedName name="_xlnm.Print_Area" localSheetId="15">'11_ЛОК'!$A$1:$J$10</definedName>
    <definedName name="_xlnm.Print_Area" localSheetId="16">'12_Расшифр.тек.ремонт'!$A$1:$AB$13</definedName>
    <definedName name="_xlnm.Print_Area" localSheetId="2">'2_Дети-сироты в СПО 2022'!$A$1:$N$41</definedName>
    <definedName name="_xlnm.Print_Area" localSheetId="3">'2_Дети-сироты в СПО 2022 -прав'!$A$1:$N$41</definedName>
    <definedName name="_xlnm.Print_Area" localSheetId="4">'3_Стипендии '!$A$1:$AF$43</definedName>
    <definedName name="_xlnm.Print_Area" localSheetId="7">'5_Сельские образ-е 2021 (2)'!$A$1:$AC$35</definedName>
    <definedName name="_xlnm.Print_Area" localSheetId="6">'5_Сельские образование 2021'!$A$1:$AC$35</definedName>
    <definedName name="_xlnm.Print_Area" localSheetId="10">'6.1_родплата 26.10.2021 кон'!$A$1:$X$24</definedName>
    <definedName name="_xlnm.Print_Area" localSheetId="9">'6-родплата'!$A$1:$U$24</definedName>
    <definedName name="_xlnm.Print_Area" localSheetId="13">'9_Частные сады'!$A$1:$L$18</definedName>
    <definedName name="_xlnm.Print_Area" localSheetId="18">курсы!$A$1:$E$18</definedName>
    <definedName name="_xlnm.Print_Area" localSheetId="19">'питание (340)'!$A$1:$D$18</definedName>
    <definedName name="_xlnm.Print_Area" localSheetId="8">'Сельские образование 2021'!$A$1:$AC$35</definedName>
  </definedNames>
  <calcPr calcId="144525"/>
</workbook>
</file>

<file path=xl/calcChain.xml><?xml version="1.0" encoding="utf-8"?>
<calcChain xmlns="http://schemas.openxmlformats.org/spreadsheetml/2006/main">
  <c r="M35" i="12" l="1"/>
  <c r="W34" i="28" l="1"/>
  <c r="X34" i="28" s="1"/>
  <c r="R34" i="28"/>
  <c r="K34" i="28"/>
  <c r="K35" i="28" s="1"/>
  <c r="C34" i="28"/>
  <c r="C35" i="28" s="1"/>
  <c r="Z33" i="28"/>
  <c r="W33" i="28"/>
  <c r="X33" i="28" s="1"/>
  <c r="Y33" i="28" s="1"/>
  <c r="I33" i="28"/>
  <c r="J33" i="28" s="1"/>
  <c r="AA33" i="28" s="1"/>
  <c r="AB33" i="28" s="1"/>
  <c r="AC33" i="28" s="1"/>
  <c r="H33" i="28"/>
  <c r="Z32" i="28"/>
  <c r="W32" i="28"/>
  <c r="X32" i="28" s="1"/>
  <c r="Y32" i="28" s="1"/>
  <c r="I32" i="28"/>
  <c r="J32" i="28" s="1"/>
  <c r="AA32" i="28" s="1"/>
  <c r="AB32" i="28" s="1"/>
  <c r="AC32" i="28" s="1"/>
  <c r="H32" i="28"/>
  <c r="Z31" i="28"/>
  <c r="W31" i="28"/>
  <c r="X31" i="28" s="1"/>
  <c r="Y31" i="28" s="1"/>
  <c r="I31" i="28"/>
  <c r="J31" i="28" s="1"/>
  <c r="AA31" i="28" s="1"/>
  <c r="AB31" i="28" s="1"/>
  <c r="AC31" i="28" s="1"/>
  <c r="H31" i="28"/>
  <c r="Z30" i="28"/>
  <c r="W30" i="28"/>
  <c r="X30" i="28" s="1"/>
  <c r="Y30" i="28" s="1"/>
  <c r="I30" i="28"/>
  <c r="I34" i="28" s="1"/>
  <c r="H30" i="28"/>
  <c r="Z29" i="28"/>
  <c r="W29" i="28"/>
  <c r="X29" i="28" s="1"/>
  <c r="Y29" i="28" s="1"/>
  <c r="I29" i="28"/>
  <c r="J29" i="28" s="1"/>
  <c r="AA29" i="28" s="1"/>
  <c r="AB29" i="28" s="1"/>
  <c r="AC29" i="28" s="1"/>
  <c r="H29" i="28"/>
  <c r="Z28" i="28"/>
  <c r="Z27" i="28"/>
  <c r="Y27" i="28" s="1"/>
  <c r="X27" i="28"/>
  <c r="W27" i="28"/>
  <c r="H27" i="28"/>
  <c r="I27" i="28" s="1"/>
  <c r="J27" i="28" s="1"/>
  <c r="Z26" i="28"/>
  <c r="Y26" i="28" s="1"/>
  <c r="X26" i="28"/>
  <c r="W26" i="28"/>
  <c r="H26" i="28"/>
  <c r="I26" i="28" s="1"/>
  <c r="J26" i="28" s="1"/>
  <c r="Z25" i="28"/>
  <c r="Y25" i="28" s="1"/>
  <c r="X25" i="28"/>
  <c r="W25" i="28"/>
  <c r="H25" i="28"/>
  <c r="I25" i="28" s="1"/>
  <c r="J25" i="28" s="1"/>
  <c r="Z24" i="28"/>
  <c r="Y24" i="28" s="1"/>
  <c r="Y28" i="28" s="1"/>
  <c r="X24" i="28"/>
  <c r="W24" i="28"/>
  <c r="H24" i="28"/>
  <c r="I24" i="28" s="1"/>
  <c r="N23" i="28"/>
  <c r="M23" i="28"/>
  <c r="L23" i="28"/>
  <c r="K23" i="28"/>
  <c r="F23" i="28"/>
  <c r="E23" i="28"/>
  <c r="D23" i="28"/>
  <c r="C23" i="28"/>
  <c r="Z20" i="28"/>
  <c r="W20" i="28"/>
  <c r="X20" i="28" s="1"/>
  <c r="Y20" i="28" s="1"/>
  <c r="Q20" i="28"/>
  <c r="R20" i="28" s="1"/>
  <c r="Z19" i="28"/>
  <c r="Y19" i="28" s="1"/>
  <c r="X19" i="28"/>
  <c r="W19" i="28"/>
  <c r="H19" i="28"/>
  <c r="I19" i="28" s="1"/>
  <c r="J19" i="28" s="1"/>
  <c r="Z18" i="28"/>
  <c r="Y18" i="28" s="1"/>
  <c r="X18" i="28"/>
  <c r="W18" i="28"/>
  <c r="H18" i="28"/>
  <c r="I18" i="28" s="1"/>
  <c r="J18" i="28" s="1"/>
  <c r="Z17" i="28"/>
  <c r="Y17" i="28" s="1"/>
  <c r="X17" i="28"/>
  <c r="W17" i="28"/>
  <c r="H17" i="28"/>
  <c r="I17" i="28" s="1"/>
  <c r="J17" i="28" s="1"/>
  <c r="Z16" i="28"/>
  <c r="Y16" i="28" s="1"/>
  <c r="X16" i="28"/>
  <c r="W16" i="28"/>
  <c r="H16" i="28"/>
  <c r="I16" i="28" s="1"/>
  <c r="J16" i="28" s="1"/>
  <c r="Z15" i="28"/>
  <c r="Y15" i="28" s="1"/>
  <c r="X15" i="28"/>
  <c r="W15" i="28"/>
  <c r="R15" i="28"/>
  <c r="Q15" i="28"/>
  <c r="Z14" i="28"/>
  <c r="W14" i="28"/>
  <c r="X14" i="28" s="1"/>
  <c r="Y14" i="28" s="1"/>
  <c r="I14" i="28"/>
  <c r="J14" i="28" s="1"/>
  <c r="H14" i="28"/>
  <c r="Z13" i="28"/>
  <c r="W13" i="28"/>
  <c r="X13" i="28" s="1"/>
  <c r="Y13" i="28" s="1"/>
  <c r="I13" i="28"/>
  <c r="J13" i="28" s="1"/>
  <c r="H13" i="28"/>
  <c r="Z12" i="28"/>
  <c r="W12" i="28"/>
  <c r="X12" i="28" s="1"/>
  <c r="Y12" i="28" s="1"/>
  <c r="I12" i="28"/>
  <c r="J12" i="28" s="1"/>
  <c r="H12" i="28"/>
  <c r="Z11" i="28"/>
  <c r="W11" i="28"/>
  <c r="X11" i="28" s="1"/>
  <c r="Y11" i="28" s="1"/>
  <c r="I11" i="28"/>
  <c r="J11" i="28" s="1"/>
  <c r="H11" i="28"/>
  <c r="Z10" i="28"/>
  <c r="W10" i="28"/>
  <c r="X10" i="28" s="1"/>
  <c r="Y10" i="28" s="1"/>
  <c r="I10" i="28"/>
  <c r="J10" i="28" s="1"/>
  <c r="H10" i="28"/>
  <c r="Z9" i="28"/>
  <c r="W9" i="28"/>
  <c r="X9" i="28" s="1"/>
  <c r="Y9" i="28" s="1"/>
  <c r="I9" i="28"/>
  <c r="J9" i="28" s="1"/>
  <c r="H9" i="28"/>
  <c r="Z8" i="28"/>
  <c r="W8" i="28"/>
  <c r="X8" i="28" s="1"/>
  <c r="Y8" i="28" s="1"/>
  <c r="I8" i="28"/>
  <c r="J8" i="28" s="1"/>
  <c r="H8" i="28"/>
  <c r="Z7" i="28"/>
  <c r="W7" i="28"/>
  <c r="X7" i="28" s="1"/>
  <c r="Y7" i="28" s="1"/>
  <c r="I7" i="28"/>
  <c r="J7" i="28" s="1"/>
  <c r="H7" i="28"/>
  <c r="Z6" i="28"/>
  <c r="W6" i="28"/>
  <c r="X6" i="28" s="1"/>
  <c r="Y6" i="28" s="1"/>
  <c r="I6" i="28"/>
  <c r="J6" i="28" s="1"/>
  <c r="H6" i="28"/>
  <c r="Z5" i="28"/>
  <c r="W5" i="28"/>
  <c r="X5" i="28" s="1"/>
  <c r="Y5" i="28" s="1"/>
  <c r="I5" i="28"/>
  <c r="J5" i="28" s="1"/>
  <c r="H5" i="28"/>
  <c r="Z4" i="28"/>
  <c r="Z23" i="28" s="1"/>
  <c r="W4" i="28"/>
  <c r="X4" i="28" s="1"/>
  <c r="Y4" i="28" s="1"/>
  <c r="Y23" i="28" s="1"/>
  <c r="I4" i="28"/>
  <c r="I23" i="28" s="1"/>
  <c r="H4" i="28"/>
  <c r="AA25" i="28" l="1"/>
  <c r="AB25" i="28" s="1"/>
  <c r="AC25" i="28" s="1"/>
  <c r="AA26" i="28"/>
  <c r="AB26" i="28" s="1"/>
  <c r="AC26" i="28" s="1"/>
  <c r="AA27" i="28"/>
  <c r="AB27" i="28" s="1"/>
  <c r="AC27" i="28" s="1"/>
  <c r="AA5" i="28"/>
  <c r="AB5" i="28" s="1"/>
  <c r="AC5" i="28" s="1"/>
  <c r="AA6" i="28"/>
  <c r="AB6" i="28" s="1"/>
  <c r="AC6" i="28" s="1"/>
  <c r="AA7" i="28"/>
  <c r="AB7" i="28" s="1"/>
  <c r="AC7" i="28" s="1"/>
  <c r="AA8" i="28"/>
  <c r="AB8" i="28" s="1"/>
  <c r="AC8" i="28" s="1"/>
  <c r="AA9" i="28"/>
  <c r="AB9" i="28" s="1"/>
  <c r="AC9" i="28" s="1"/>
  <c r="AA10" i="28"/>
  <c r="AB10" i="28" s="1"/>
  <c r="AC10" i="28" s="1"/>
  <c r="AA11" i="28"/>
  <c r="AB11" i="28" s="1"/>
  <c r="AC11" i="28" s="1"/>
  <c r="AA12" i="28"/>
  <c r="AB12" i="28" s="1"/>
  <c r="AC12" i="28" s="1"/>
  <c r="AA13" i="28"/>
  <c r="AB13" i="28" s="1"/>
  <c r="AC13" i="28" s="1"/>
  <c r="AA14" i="28"/>
  <c r="AB14" i="28" s="1"/>
  <c r="AC14" i="28" s="1"/>
  <c r="AA15" i="28"/>
  <c r="AB15" i="28" s="1"/>
  <c r="AC15" i="28" s="1"/>
  <c r="AA16" i="28"/>
  <c r="AB16" i="28" s="1"/>
  <c r="AC16" i="28" s="1"/>
  <c r="AA17" i="28"/>
  <c r="AB17" i="28" s="1"/>
  <c r="AC17" i="28" s="1"/>
  <c r="AA18" i="28"/>
  <c r="AB18" i="28" s="1"/>
  <c r="AC18" i="28" s="1"/>
  <c r="AA19" i="28"/>
  <c r="AB19" i="28" s="1"/>
  <c r="AC19" i="28" s="1"/>
  <c r="AA20" i="28"/>
  <c r="AB20" i="28" s="1"/>
  <c r="AC20" i="28" s="1"/>
  <c r="Z35" i="28"/>
  <c r="I35" i="28"/>
  <c r="J24" i="28"/>
  <c r="I28" i="28"/>
  <c r="J4" i="28"/>
  <c r="R23" i="28"/>
  <c r="R35" i="28" s="1"/>
  <c r="J30" i="28"/>
  <c r="Z34" i="28"/>
  <c r="Y34" i="28" s="1"/>
  <c r="Y35" i="28" s="1"/>
  <c r="J23" i="28" l="1"/>
  <c r="AA4" i="28"/>
  <c r="AA30" i="28"/>
  <c r="AB30" i="28" s="1"/>
  <c r="AC30" i="28" s="1"/>
  <c r="J34" i="28"/>
  <c r="J28" i="28"/>
  <c r="AA28" i="28" s="1"/>
  <c r="AB28" i="28" s="1"/>
  <c r="AC28" i="28" s="1"/>
  <c r="AA24" i="28"/>
  <c r="AB24" i="28" s="1"/>
  <c r="AC24" i="28" s="1"/>
  <c r="AA23" i="28" l="1"/>
  <c r="AB4" i="28"/>
  <c r="AA34" i="28"/>
  <c r="AB34" i="28" s="1"/>
  <c r="AC34" i="28" s="1"/>
  <c r="J35" i="28"/>
  <c r="AA35" i="28" s="1"/>
  <c r="AB35" i="28" s="1"/>
  <c r="AC35" i="28" s="1"/>
  <c r="AC4" i="28" l="1"/>
  <c r="AB23" i="28"/>
  <c r="E34" i="26" l="1"/>
  <c r="I9" i="20" l="1"/>
  <c r="G9" i="20"/>
  <c r="E9" i="20"/>
  <c r="K9" i="20" s="1"/>
  <c r="A9" i="20"/>
  <c r="K4" i="17"/>
  <c r="J9" i="20" l="1"/>
  <c r="C18" i="27" l="1"/>
  <c r="B18" i="27"/>
  <c r="D17" i="27"/>
  <c r="D16" i="27"/>
  <c r="D15" i="27"/>
  <c r="D14" i="27"/>
  <c r="D13" i="27"/>
  <c r="D12" i="27"/>
  <c r="D11" i="27"/>
  <c r="D10" i="27"/>
  <c r="D9" i="27"/>
  <c r="D8" i="27"/>
  <c r="D6" i="27"/>
  <c r="D5" i="27"/>
  <c r="D4" i="27"/>
  <c r="D18" i="27" l="1"/>
  <c r="B18" i="25"/>
  <c r="C18" i="25"/>
  <c r="D17" i="25"/>
  <c r="D16" i="25"/>
  <c r="D15" i="25"/>
  <c r="D14" i="25"/>
  <c r="D13" i="25"/>
  <c r="D12" i="25"/>
  <c r="D11" i="25"/>
  <c r="D6" i="25"/>
  <c r="D8" i="25"/>
  <c r="D5" i="25"/>
  <c r="D9" i="25"/>
  <c r="D10" i="25"/>
  <c r="D4" i="25"/>
  <c r="D18" i="25" l="1"/>
  <c r="C38" i="26" l="1"/>
  <c r="B38" i="26"/>
  <c r="N35" i="26"/>
  <c r="K35" i="26"/>
  <c r="J35" i="26"/>
  <c r="I35" i="26"/>
  <c r="M34" i="26"/>
  <c r="M35" i="26" s="1"/>
  <c r="L34" i="26"/>
  <c r="L35" i="26" s="1"/>
  <c r="L29" i="26"/>
  <c r="L28" i="26" s="1"/>
  <c r="H29" i="26"/>
  <c r="H28" i="26" s="1"/>
  <c r="G29" i="26"/>
  <c r="G28" i="26" s="1"/>
  <c r="B29" i="26"/>
  <c r="J29" i="26" s="1"/>
  <c r="J28" i="26" s="1"/>
  <c r="E28" i="26"/>
  <c r="D28" i="26"/>
  <c r="C28" i="26"/>
  <c r="B28" i="26"/>
  <c r="D37" i="26" s="1"/>
  <c r="M27" i="26"/>
  <c r="L27" i="26"/>
  <c r="J27" i="26"/>
  <c r="I27" i="26"/>
  <c r="H27" i="26"/>
  <c r="G27" i="26"/>
  <c r="M26" i="26"/>
  <c r="L26" i="26"/>
  <c r="J26" i="26"/>
  <c r="I26" i="26"/>
  <c r="H26" i="26"/>
  <c r="G26" i="26"/>
  <c r="E26" i="26"/>
  <c r="D26" i="26"/>
  <c r="C26" i="26"/>
  <c r="B26" i="26"/>
  <c r="D36" i="26" s="1"/>
  <c r="L25" i="26"/>
  <c r="L24" i="26" s="1"/>
  <c r="I25" i="26"/>
  <c r="H25" i="26"/>
  <c r="H24" i="26" s="1"/>
  <c r="G25" i="26"/>
  <c r="B25" i="26"/>
  <c r="G24" i="26"/>
  <c r="E24" i="26"/>
  <c r="D24" i="26"/>
  <c r="C24" i="26"/>
  <c r="B24" i="26"/>
  <c r="D35" i="26" s="1"/>
  <c r="L23" i="26"/>
  <c r="J23" i="26"/>
  <c r="I23" i="26"/>
  <c r="H23" i="26"/>
  <c r="G23" i="26"/>
  <c r="B23" i="26"/>
  <c r="K23" i="26" s="1"/>
  <c r="L22" i="26"/>
  <c r="J22" i="26"/>
  <c r="H22" i="26"/>
  <c r="G22" i="26"/>
  <c r="I22" i="26" s="1"/>
  <c r="B22" i="26"/>
  <c r="M22" i="26" s="1"/>
  <c r="L21" i="26"/>
  <c r="H21" i="26"/>
  <c r="G21" i="26"/>
  <c r="I21" i="26" s="1"/>
  <c r="B21" i="26"/>
  <c r="J21" i="26" s="1"/>
  <c r="L20" i="26"/>
  <c r="I20" i="26"/>
  <c r="H20" i="26"/>
  <c r="G20" i="26"/>
  <c r="B20" i="26"/>
  <c r="L19" i="26"/>
  <c r="J19" i="26"/>
  <c r="I19" i="26"/>
  <c r="H19" i="26"/>
  <c r="G19" i="26"/>
  <c r="B19" i="26"/>
  <c r="K19" i="26" s="1"/>
  <c r="L18" i="26"/>
  <c r="J18" i="26"/>
  <c r="H18" i="26"/>
  <c r="G18" i="26"/>
  <c r="I18" i="26" s="1"/>
  <c r="B18" i="26"/>
  <c r="M18" i="26" s="1"/>
  <c r="L17" i="26"/>
  <c r="H17" i="26"/>
  <c r="G17" i="26"/>
  <c r="I17" i="26" s="1"/>
  <c r="B17" i="26"/>
  <c r="J17" i="26" s="1"/>
  <c r="L16" i="26"/>
  <c r="I16" i="26"/>
  <c r="H16" i="26"/>
  <c r="G16" i="26"/>
  <c r="B16" i="26"/>
  <c r="L15" i="26"/>
  <c r="J15" i="26"/>
  <c r="I15" i="26"/>
  <c r="H15" i="26"/>
  <c r="G15" i="26"/>
  <c r="B15" i="26"/>
  <c r="K15" i="26" s="1"/>
  <c r="L14" i="26"/>
  <c r="J14" i="26"/>
  <c r="H14" i="26"/>
  <c r="G14" i="26"/>
  <c r="I14" i="26" s="1"/>
  <c r="B14" i="26"/>
  <c r="M14" i="26" s="1"/>
  <c r="L13" i="26"/>
  <c r="L12" i="26" s="1"/>
  <c r="L10" i="26" s="1"/>
  <c r="H13" i="26"/>
  <c r="H12" i="26" s="1"/>
  <c r="H10" i="26" s="1"/>
  <c r="G13" i="26"/>
  <c r="G12" i="26" s="1"/>
  <c r="B13" i="26"/>
  <c r="J13" i="26" s="1"/>
  <c r="E12" i="26"/>
  <c r="D12" i="26"/>
  <c r="C12" i="26"/>
  <c r="E10" i="26"/>
  <c r="D10" i="26"/>
  <c r="C10" i="26"/>
  <c r="F27" i="26" l="1"/>
  <c r="F26" i="26" s="1"/>
  <c r="E36" i="26" s="1"/>
  <c r="F36" i="26" s="1"/>
  <c r="K27" i="26"/>
  <c r="K26" i="26" s="1"/>
  <c r="K14" i="26"/>
  <c r="F14" i="26" s="1"/>
  <c r="K22" i="26"/>
  <c r="F22" i="26" s="1"/>
  <c r="K18" i="26"/>
  <c r="F18" i="26" s="1"/>
  <c r="K29" i="26"/>
  <c r="K28" i="26" s="1"/>
  <c r="K21" i="26"/>
  <c r="K17" i="26"/>
  <c r="K13" i="26"/>
  <c r="G10" i="26"/>
  <c r="I12" i="26"/>
  <c r="F23" i="26"/>
  <c r="K16" i="26"/>
  <c r="K20" i="26"/>
  <c r="K25" i="26"/>
  <c r="K24" i="26" s="1"/>
  <c r="M15" i="26"/>
  <c r="F15" i="26" s="1"/>
  <c r="M19" i="26"/>
  <c r="F19" i="26" s="1"/>
  <c r="M23" i="26"/>
  <c r="I24" i="26"/>
  <c r="M16" i="26"/>
  <c r="M20" i="26"/>
  <c r="M25" i="26"/>
  <c r="M24" i="26" s="1"/>
  <c r="B12" i="26"/>
  <c r="I13" i="26"/>
  <c r="M13" i="26"/>
  <c r="J16" i="26"/>
  <c r="F16" i="26" s="1"/>
  <c r="M17" i="26"/>
  <c r="F17" i="26" s="1"/>
  <c r="J20" i="26"/>
  <c r="F20" i="26" s="1"/>
  <c r="M21" i="26"/>
  <c r="F21" i="26" s="1"/>
  <c r="J25" i="26"/>
  <c r="J24" i="26" s="1"/>
  <c r="I29" i="26"/>
  <c r="M29" i="26"/>
  <c r="M28" i="26" s="1"/>
  <c r="M12" i="26" l="1"/>
  <c r="M10" i="26" s="1"/>
  <c r="K12" i="26"/>
  <c r="K10" i="26" s="1"/>
  <c r="F13" i="26"/>
  <c r="F12" i="26" s="1"/>
  <c r="F29" i="26"/>
  <c r="F28" i="26" s="1"/>
  <c r="E37" i="26" s="1"/>
  <c r="F37" i="26" s="1"/>
  <c r="I28" i="26"/>
  <c r="D34" i="26"/>
  <c r="D38" i="26" s="1"/>
  <c r="B10" i="26"/>
  <c r="F25" i="26"/>
  <c r="F24" i="26" s="1"/>
  <c r="E35" i="26" s="1"/>
  <c r="F35" i="26" s="1"/>
  <c r="I10" i="26"/>
  <c r="J12" i="26"/>
  <c r="J10" i="26" s="1"/>
  <c r="F10" i="26" l="1"/>
  <c r="E38" i="26" l="1"/>
  <c r="F34" i="26"/>
  <c r="F38" i="26" s="1"/>
  <c r="C4" i="24" l="1"/>
  <c r="B4" i="24"/>
  <c r="D14" i="24"/>
  <c r="D15" i="24"/>
  <c r="D16" i="24"/>
  <c r="D17" i="24"/>
  <c r="D18" i="24"/>
  <c r="D19" i="24"/>
  <c r="D20" i="24"/>
  <c r="D4" i="24"/>
  <c r="D6" i="24" l="1"/>
  <c r="D7" i="24"/>
  <c r="D8" i="24"/>
  <c r="D9" i="24"/>
  <c r="D10" i="24"/>
  <c r="D11" i="24"/>
  <c r="D12" i="24"/>
  <c r="D13" i="24"/>
  <c r="D5" i="24"/>
  <c r="W34" i="23" l="1"/>
  <c r="X34" i="23" s="1"/>
  <c r="R34" i="23"/>
  <c r="K34" i="23"/>
  <c r="K35" i="23" s="1"/>
  <c r="C34" i="23"/>
  <c r="C35" i="23" s="1"/>
  <c r="Z33" i="23"/>
  <c r="W33" i="23"/>
  <c r="X33" i="23" s="1"/>
  <c r="H33" i="23"/>
  <c r="I33" i="23" s="1"/>
  <c r="J33" i="23" s="1"/>
  <c r="Z32" i="23"/>
  <c r="Y32" i="23" s="1"/>
  <c r="X32" i="23"/>
  <c r="W32" i="23"/>
  <c r="H32" i="23"/>
  <c r="I32" i="23" s="1"/>
  <c r="J32" i="23" s="1"/>
  <c r="AA32" i="23" s="1"/>
  <c r="AB32" i="23" s="1"/>
  <c r="AC32" i="23" s="1"/>
  <c r="Z31" i="23"/>
  <c r="Y31" i="23" s="1"/>
  <c r="X31" i="23"/>
  <c r="W31" i="23"/>
  <c r="H31" i="23"/>
  <c r="I31" i="23" s="1"/>
  <c r="J31" i="23" s="1"/>
  <c r="AA31" i="23" s="1"/>
  <c r="AB31" i="23" s="1"/>
  <c r="AC31" i="23" s="1"/>
  <c r="Z30" i="23"/>
  <c r="Y30" i="23" s="1"/>
  <c r="X30" i="23"/>
  <c r="W30" i="23"/>
  <c r="H30" i="23"/>
  <c r="I30" i="23" s="1"/>
  <c r="Z29" i="23"/>
  <c r="Y29" i="23" s="1"/>
  <c r="X29" i="23"/>
  <c r="W29" i="23"/>
  <c r="H29" i="23"/>
  <c r="I29" i="23" s="1"/>
  <c r="J29" i="23" s="1"/>
  <c r="AA29" i="23" s="1"/>
  <c r="AB29" i="23" s="1"/>
  <c r="AC29" i="23" s="1"/>
  <c r="Z28" i="23"/>
  <c r="Z27" i="23"/>
  <c r="W27" i="23"/>
  <c r="X27" i="23" s="1"/>
  <c r="I27" i="23"/>
  <c r="J27" i="23" s="1"/>
  <c r="H27" i="23"/>
  <c r="Z26" i="23"/>
  <c r="W26" i="23"/>
  <c r="X26" i="23" s="1"/>
  <c r="I26" i="23"/>
  <c r="J26" i="23" s="1"/>
  <c r="H26" i="23"/>
  <c r="Z25" i="23"/>
  <c r="W25" i="23"/>
  <c r="X25" i="23" s="1"/>
  <c r="H25" i="23"/>
  <c r="I25" i="23" s="1"/>
  <c r="J25" i="23" s="1"/>
  <c r="Z24" i="23"/>
  <c r="Y24" i="23"/>
  <c r="X24" i="23"/>
  <c r="W24" i="23"/>
  <c r="I24" i="23"/>
  <c r="J24" i="23" s="1"/>
  <c r="H24" i="23"/>
  <c r="N23" i="23"/>
  <c r="M23" i="23"/>
  <c r="L23" i="23"/>
  <c r="K23" i="23"/>
  <c r="F23" i="23"/>
  <c r="E23" i="23"/>
  <c r="D23" i="23"/>
  <c r="C23" i="23"/>
  <c r="Z20" i="23"/>
  <c r="W20" i="23"/>
  <c r="X20" i="23" s="1"/>
  <c r="R20" i="23"/>
  <c r="Q20" i="23"/>
  <c r="Z19" i="23"/>
  <c r="W19" i="23"/>
  <c r="X19" i="23" s="1"/>
  <c r="Y19" i="23" s="1"/>
  <c r="I19" i="23"/>
  <c r="J19" i="23" s="1"/>
  <c r="H19" i="23"/>
  <c r="Z18" i="23"/>
  <c r="X18" i="23"/>
  <c r="Y18" i="23" s="1"/>
  <c r="W18" i="23"/>
  <c r="H18" i="23"/>
  <c r="I18" i="23" s="1"/>
  <c r="J18" i="23" s="1"/>
  <c r="Z17" i="23"/>
  <c r="W17" i="23"/>
  <c r="X17" i="23" s="1"/>
  <c r="H17" i="23"/>
  <c r="I17" i="23" s="1"/>
  <c r="J17" i="23" s="1"/>
  <c r="Z16" i="23"/>
  <c r="X16" i="23"/>
  <c r="Y16" i="23" s="1"/>
  <c r="W16" i="23"/>
  <c r="H16" i="23"/>
  <c r="I16" i="23" s="1"/>
  <c r="J16" i="23" s="1"/>
  <c r="AA16" i="23" s="1"/>
  <c r="AB16" i="23" s="1"/>
  <c r="AC16" i="23" s="1"/>
  <c r="Z15" i="23"/>
  <c r="W15" i="23"/>
  <c r="X15" i="23" s="1"/>
  <c r="R15" i="23"/>
  <c r="Q15" i="23"/>
  <c r="Z14" i="23"/>
  <c r="W14" i="23"/>
  <c r="X14" i="23" s="1"/>
  <c r="Y14" i="23" s="1"/>
  <c r="H14" i="23"/>
  <c r="I14" i="23" s="1"/>
  <c r="J14" i="23" s="1"/>
  <c r="AA14" i="23" s="1"/>
  <c r="AB14" i="23" s="1"/>
  <c r="AC14" i="23" s="1"/>
  <c r="Z13" i="23"/>
  <c r="W13" i="23"/>
  <c r="X13" i="23" s="1"/>
  <c r="Y13" i="23" s="1"/>
  <c r="I13" i="23"/>
  <c r="J13" i="23" s="1"/>
  <c r="AA13" i="23" s="1"/>
  <c r="AB13" i="23" s="1"/>
  <c r="AC13" i="23" s="1"/>
  <c r="H13" i="23"/>
  <c r="Z12" i="23"/>
  <c r="W12" i="23"/>
  <c r="X12" i="23" s="1"/>
  <c r="Y12" i="23" s="1"/>
  <c r="H12" i="23"/>
  <c r="I12" i="23" s="1"/>
  <c r="J12" i="23" s="1"/>
  <c r="AA12" i="23" s="1"/>
  <c r="AB12" i="23" s="1"/>
  <c r="AC12" i="23" s="1"/>
  <c r="Z11" i="23"/>
  <c r="W11" i="23"/>
  <c r="X11" i="23" s="1"/>
  <c r="Y11" i="23" s="1"/>
  <c r="I11" i="23"/>
  <c r="J11" i="23" s="1"/>
  <c r="H11" i="23"/>
  <c r="Z10" i="23"/>
  <c r="W10" i="23"/>
  <c r="X10" i="23" s="1"/>
  <c r="Y10" i="23" s="1"/>
  <c r="H10" i="23"/>
  <c r="I10" i="23" s="1"/>
  <c r="J10" i="23" s="1"/>
  <c r="Z9" i="23"/>
  <c r="W9" i="23"/>
  <c r="X9" i="23" s="1"/>
  <c r="Y9" i="23" s="1"/>
  <c r="I9" i="23"/>
  <c r="J9" i="23" s="1"/>
  <c r="H9" i="23"/>
  <c r="Z8" i="23"/>
  <c r="W8" i="23"/>
  <c r="X8" i="23" s="1"/>
  <c r="Y8" i="23" s="1"/>
  <c r="H8" i="23"/>
  <c r="I8" i="23" s="1"/>
  <c r="J8" i="23" s="1"/>
  <c r="Z7" i="23"/>
  <c r="W7" i="23"/>
  <c r="X7" i="23" s="1"/>
  <c r="Y7" i="23" s="1"/>
  <c r="I7" i="23"/>
  <c r="J7" i="23" s="1"/>
  <c r="AA7" i="23" s="1"/>
  <c r="AB7" i="23" s="1"/>
  <c r="AC7" i="23" s="1"/>
  <c r="H7" i="23"/>
  <c r="Z6" i="23"/>
  <c r="W6" i="23"/>
  <c r="X6" i="23" s="1"/>
  <c r="Y6" i="23" s="1"/>
  <c r="H6" i="23"/>
  <c r="I6" i="23" s="1"/>
  <c r="J6" i="23" s="1"/>
  <c r="AA6" i="23" s="1"/>
  <c r="AB6" i="23" s="1"/>
  <c r="AC6" i="23" s="1"/>
  <c r="Z5" i="23"/>
  <c r="Y5" i="23" s="1"/>
  <c r="W5" i="23"/>
  <c r="X5" i="23" s="1"/>
  <c r="J5" i="23"/>
  <c r="AA5" i="23" s="1"/>
  <c r="AB5" i="23" s="1"/>
  <c r="AC5" i="23" s="1"/>
  <c r="I5" i="23"/>
  <c r="H5" i="23"/>
  <c r="Z4" i="23"/>
  <c r="Z23" i="23" s="1"/>
  <c r="X4" i="23"/>
  <c r="Y4" i="23" s="1"/>
  <c r="W4" i="23"/>
  <c r="H4" i="23"/>
  <c r="I4" i="23" s="1"/>
  <c r="K5" i="19"/>
  <c r="J5" i="19"/>
  <c r="F5" i="22"/>
  <c r="F4" i="22" s="1"/>
  <c r="Y26" i="23" l="1"/>
  <c r="AA26" i="23" s="1"/>
  <c r="AB26" i="23" s="1"/>
  <c r="AC26" i="23" s="1"/>
  <c r="I23" i="23"/>
  <c r="J4" i="23"/>
  <c r="AA8" i="23"/>
  <c r="AB8" i="23" s="1"/>
  <c r="AC8" i="23" s="1"/>
  <c r="AA9" i="23"/>
  <c r="AB9" i="23" s="1"/>
  <c r="AC9" i="23" s="1"/>
  <c r="AA17" i="23"/>
  <c r="AB17" i="23" s="1"/>
  <c r="AC17" i="23" s="1"/>
  <c r="AA19" i="23"/>
  <c r="AB19" i="23" s="1"/>
  <c r="AC19" i="23" s="1"/>
  <c r="J28" i="23"/>
  <c r="AA24" i="23"/>
  <c r="AB24" i="23" s="1"/>
  <c r="AC24" i="23" s="1"/>
  <c r="Z35" i="23"/>
  <c r="Y17" i="23"/>
  <c r="Y20" i="23"/>
  <c r="AA20" i="23" s="1"/>
  <c r="AB20" i="23" s="1"/>
  <c r="AC20" i="23" s="1"/>
  <c r="I34" i="23"/>
  <c r="I35" i="23" s="1"/>
  <c r="J30" i="23"/>
  <c r="AA10" i="23"/>
  <c r="AB10" i="23" s="1"/>
  <c r="AC10" i="23" s="1"/>
  <c r="AA11" i="23"/>
  <c r="AB11" i="23" s="1"/>
  <c r="AC11" i="23" s="1"/>
  <c r="Y15" i="23"/>
  <c r="AA15" i="23" s="1"/>
  <c r="AB15" i="23" s="1"/>
  <c r="AC15" i="23" s="1"/>
  <c r="AA18" i="23"/>
  <c r="AB18" i="23" s="1"/>
  <c r="AC18" i="23" s="1"/>
  <c r="Y25" i="23"/>
  <c r="AA25" i="23" s="1"/>
  <c r="AB25" i="23" s="1"/>
  <c r="AC25" i="23" s="1"/>
  <c r="Y27" i="23"/>
  <c r="AA27" i="23" s="1"/>
  <c r="AB27" i="23" s="1"/>
  <c r="AC27" i="23" s="1"/>
  <c r="Y33" i="23"/>
  <c r="AA33" i="23" s="1"/>
  <c r="AB33" i="23" s="1"/>
  <c r="AC33" i="23" s="1"/>
  <c r="R23" i="23"/>
  <c r="R35" i="23" s="1"/>
  <c r="I28" i="23"/>
  <c r="Z34" i="23"/>
  <c r="Y34" i="23" s="1"/>
  <c r="AB7" i="22"/>
  <c r="AB4" i="22" s="1"/>
  <c r="E5" i="22"/>
  <c r="F6" i="22"/>
  <c r="F8" i="22"/>
  <c r="F9" i="22"/>
  <c r="F10" i="22"/>
  <c r="F11" i="22"/>
  <c r="F12" i="22"/>
  <c r="X7" i="22"/>
  <c r="X4" i="22" s="1"/>
  <c r="Y7" i="22"/>
  <c r="Y4" i="22" s="1"/>
  <c r="Z7" i="22"/>
  <c r="Z4" i="22" s="1"/>
  <c r="AA7" i="22"/>
  <c r="AA4" i="22" s="1"/>
  <c r="V7" i="22"/>
  <c r="S7" i="22"/>
  <c r="S4" i="22" s="1"/>
  <c r="T7" i="22"/>
  <c r="T4" i="22" s="1"/>
  <c r="U7" i="22"/>
  <c r="U4" i="22" s="1"/>
  <c r="W7" i="22"/>
  <c r="W4" i="22" s="1"/>
  <c r="V4" i="22"/>
  <c r="AA30" i="23" l="1"/>
  <c r="AB30" i="23" s="1"/>
  <c r="AC30" i="23" s="1"/>
  <c r="J34" i="23"/>
  <c r="J23" i="23"/>
  <c r="AA4" i="23"/>
  <c r="Y23" i="23"/>
  <c r="Y28" i="23"/>
  <c r="AA28" i="23" s="1"/>
  <c r="AB28" i="23" s="1"/>
  <c r="AC28" i="23" s="1"/>
  <c r="I7" i="22"/>
  <c r="I4" i="22" s="1"/>
  <c r="H7" i="22"/>
  <c r="H4" i="22" s="1"/>
  <c r="J7" i="22"/>
  <c r="J4" i="22" s="1"/>
  <c r="K7" i="22"/>
  <c r="L7" i="22"/>
  <c r="L4" i="22" s="1"/>
  <c r="M7" i="22"/>
  <c r="N7" i="22"/>
  <c r="N4" i="22" s="1"/>
  <c r="O7" i="22"/>
  <c r="P7" i="22"/>
  <c r="P4" i="22" s="1"/>
  <c r="Q7" i="22"/>
  <c r="Q4" i="22" s="1"/>
  <c r="R7" i="22"/>
  <c r="R4" i="22" s="1"/>
  <c r="O4" i="22"/>
  <c r="G7" i="22"/>
  <c r="G4" i="22" s="1"/>
  <c r="E6" i="22"/>
  <c r="E8" i="22"/>
  <c r="E9" i="22"/>
  <c r="E10" i="22"/>
  <c r="E11" i="22"/>
  <c r="E12" i="22"/>
  <c r="B7" i="22"/>
  <c r="B4" i="22" s="1"/>
  <c r="C7" i="22"/>
  <c r="C4" i="22" s="1"/>
  <c r="D7" i="22"/>
  <c r="D4" i="22" s="1"/>
  <c r="Y35" i="23" l="1"/>
  <c r="AA23" i="23"/>
  <c r="AB4" i="23"/>
  <c r="AA34" i="23"/>
  <c r="AB34" i="23" s="1"/>
  <c r="AC34" i="23" s="1"/>
  <c r="J35" i="23"/>
  <c r="AA35" i="23" s="1"/>
  <c r="AB35" i="23" s="1"/>
  <c r="AC35" i="23" s="1"/>
  <c r="E4" i="22"/>
  <c r="K4" i="22"/>
  <c r="F7" i="22"/>
  <c r="E7" i="22"/>
  <c r="M4" i="22"/>
  <c r="AC4" i="23" l="1"/>
  <c r="AB23" i="23"/>
  <c r="H4" i="21" l="1"/>
  <c r="J10" i="21" l="1"/>
  <c r="I10" i="21"/>
  <c r="H10" i="21"/>
  <c r="E10" i="21"/>
  <c r="F10" i="21"/>
  <c r="G10" i="21"/>
  <c r="D10" i="21"/>
  <c r="H9" i="21"/>
  <c r="J8" i="21"/>
  <c r="I8" i="21"/>
  <c r="E8" i="21"/>
  <c r="F8" i="21"/>
  <c r="G8" i="21"/>
  <c r="H8" i="21"/>
  <c r="D8" i="21"/>
  <c r="H7" i="21"/>
  <c r="H6" i="21"/>
  <c r="H5" i="21"/>
  <c r="G4" i="20" l="1"/>
  <c r="E4" i="20" l="1"/>
  <c r="A4" i="20"/>
  <c r="J4" i="20" l="1"/>
  <c r="I4" i="20"/>
  <c r="E22" i="18" l="1"/>
  <c r="O17" i="19" l="1"/>
  <c r="M15" i="19"/>
  <c r="I15" i="19"/>
  <c r="H15" i="19"/>
  <c r="G15" i="19"/>
  <c r="F15" i="19"/>
  <c r="E15" i="19"/>
  <c r="L14" i="19"/>
  <c r="J14" i="19" s="1"/>
  <c r="O14" i="19" s="1"/>
  <c r="P14" i="19" s="1"/>
  <c r="K14" i="19"/>
  <c r="D14" i="19"/>
  <c r="N14" i="19" s="1"/>
  <c r="L13" i="19"/>
  <c r="K13" i="19"/>
  <c r="J13" i="19" s="1"/>
  <c r="O13" i="19" s="1"/>
  <c r="P13" i="19" s="1"/>
  <c r="D13" i="19"/>
  <c r="N13" i="19" s="1"/>
  <c r="L12" i="19"/>
  <c r="K12" i="19"/>
  <c r="J12" i="19"/>
  <c r="O12" i="19" s="1"/>
  <c r="P12" i="19" s="1"/>
  <c r="D12" i="19"/>
  <c r="N12" i="19" s="1"/>
  <c r="L11" i="19"/>
  <c r="K11" i="19"/>
  <c r="J11" i="19"/>
  <c r="O11" i="19" s="1"/>
  <c r="P11" i="19" s="1"/>
  <c r="D11" i="19"/>
  <c r="N11" i="19" s="1"/>
  <c r="L10" i="19"/>
  <c r="J10" i="19" s="1"/>
  <c r="K10" i="19"/>
  <c r="D10" i="19"/>
  <c r="N10" i="19" s="1"/>
  <c r="L9" i="19"/>
  <c r="K9" i="19"/>
  <c r="J9" i="19" s="1"/>
  <c r="O9" i="19" s="1"/>
  <c r="P9" i="19" s="1"/>
  <c r="D9" i="19"/>
  <c r="N9" i="19" s="1"/>
  <c r="L8" i="19"/>
  <c r="K8" i="19"/>
  <c r="J8" i="19"/>
  <c r="O8" i="19" s="1"/>
  <c r="P8" i="19" s="1"/>
  <c r="D8" i="19"/>
  <c r="N8" i="19" s="1"/>
  <c r="L7" i="19"/>
  <c r="K7" i="19"/>
  <c r="J7" i="19"/>
  <c r="D7" i="19"/>
  <c r="D15" i="19" s="1"/>
  <c r="L6" i="19"/>
  <c r="L15" i="19" s="1"/>
  <c r="K6" i="19"/>
  <c r="D6" i="19"/>
  <c r="N6" i="19" s="1"/>
  <c r="L5" i="19"/>
  <c r="K15" i="19"/>
  <c r="D5" i="19"/>
  <c r="N5" i="19" s="1"/>
  <c r="O7" i="19" l="1"/>
  <c r="P7" i="19" s="1"/>
  <c r="N15" i="19"/>
  <c r="O10" i="19"/>
  <c r="P10" i="19" s="1"/>
  <c r="N7" i="19"/>
  <c r="J6" i="19"/>
  <c r="O6" i="19" s="1"/>
  <c r="P6" i="19" s="1"/>
  <c r="O5" i="19" l="1"/>
  <c r="J15" i="19"/>
  <c r="O15" i="19" l="1"/>
  <c r="P5" i="19"/>
  <c r="P15" i="19" s="1"/>
  <c r="F44" i="18" l="1"/>
  <c r="G44" i="18" s="1"/>
  <c r="E44" i="18"/>
  <c r="D44" i="18"/>
  <c r="C44" i="18"/>
  <c r="F43" i="18"/>
  <c r="G43" i="18" s="1"/>
  <c r="E43" i="18"/>
  <c r="D43" i="18"/>
  <c r="C43" i="18"/>
  <c r="F42" i="18"/>
  <c r="G42" i="18" s="1"/>
  <c r="E42" i="18"/>
  <c r="D42" i="18"/>
  <c r="C42" i="18"/>
  <c r="F41" i="18"/>
  <c r="G41" i="18" s="1"/>
  <c r="E41" i="18"/>
  <c r="D41" i="18"/>
  <c r="C41" i="18"/>
  <c r="F40" i="18"/>
  <c r="G40" i="18" s="1"/>
  <c r="E40" i="18"/>
  <c r="D40" i="18"/>
  <c r="C40" i="18"/>
  <c r="F39" i="18"/>
  <c r="G39" i="18" s="1"/>
  <c r="E39" i="18"/>
  <c r="D39" i="18"/>
  <c r="C39" i="18"/>
  <c r="F38" i="18"/>
  <c r="G38" i="18" s="1"/>
  <c r="E38" i="18"/>
  <c r="D38" i="18"/>
  <c r="C38" i="18"/>
  <c r="F37" i="18"/>
  <c r="G37" i="18" s="1"/>
  <c r="E37" i="18"/>
  <c r="D37" i="18"/>
  <c r="C37" i="18"/>
  <c r="F36" i="18"/>
  <c r="G36" i="18" s="1"/>
  <c r="E36" i="18"/>
  <c r="D36" i="18"/>
  <c r="C36" i="18"/>
  <c r="F35" i="18"/>
  <c r="G35" i="18" s="1"/>
  <c r="E35" i="18"/>
  <c r="D35" i="18"/>
  <c r="C35" i="18"/>
  <c r="F34" i="18"/>
  <c r="G34" i="18" s="1"/>
  <c r="E34" i="18"/>
  <c r="D34" i="18"/>
  <c r="C34" i="18"/>
  <c r="F33" i="18"/>
  <c r="G33" i="18" s="1"/>
  <c r="E33" i="18"/>
  <c r="D33" i="18"/>
  <c r="C33" i="18"/>
  <c r="F32" i="18"/>
  <c r="G32" i="18" s="1"/>
  <c r="E32" i="18"/>
  <c r="D32" i="18"/>
  <c r="C32" i="18"/>
  <c r="F31" i="18"/>
  <c r="G31" i="18" s="1"/>
  <c r="E31" i="18"/>
  <c r="D31" i="18"/>
  <c r="C31" i="18"/>
  <c r="F30" i="18"/>
  <c r="G30" i="18" s="1"/>
  <c r="E30" i="18"/>
  <c r="D30" i="18"/>
  <c r="C30" i="18"/>
  <c r="F29" i="18"/>
  <c r="G29" i="18" s="1"/>
  <c r="E29" i="18"/>
  <c r="D29" i="18"/>
  <c r="C29" i="18"/>
  <c r="F28" i="18"/>
  <c r="G28" i="18" s="1"/>
  <c r="E28" i="18"/>
  <c r="D28" i="18"/>
  <c r="C28" i="18"/>
  <c r="F27" i="18"/>
  <c r="G27" i="18" s="1"/>
  <c r="E27" i="18"/>
  <c r="D27" i="18"/>
  <c r="C27" i="18"/>
  <c r="F26" i="18"/>
  <c r="G26" i="18" s="1"/>
  <c r="G25" i="18" s="1"/>
  <c r="E26" i="18"/>
  <c r="D26" i="18"/>
  <c r="C26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45" i="18"/>
  <c r="D22" i="18"/>
  <c r="D45" i="18" s="1"/>
  <c r="C22" i="18"/>
  <c r="C45" i="18" s="1"/>
  <c r="G12" i="18"/>
  <c r="H12" i="18" s="1"/>
  <c r="F12" i="18"/>
  <c r="E12" i="18"/>
  <c r="D12" i="18"/>
  <c r="C12" i="18"/>
  <c r="G11" i="18"/>
  <c r="F11" i="18"/>
  <c r="E11" i="18"/>
  <c r="D11" i="18"/>
  <c r="C11" i="18"/>
  <c r="H10" i="18"/>
  <c r="G9" i="18"/>
  <c r="F9" i="18"/>
  <c r="E9" i="18"/>
  <c r="D9" i="18"/>
  <c r="C9" i="18"/>
  <c r="G8" i="18"/>
  <c r="H8" i="18" s="1"/>
  <c r="F8" i="18"/>
  <c r="E8" i="18"/>
  <c r="D8" i="18"/>
  <c r="C8" i="18"/>
  <c r="H7" i="18"/>
  <c r="G6" i="18"/>
  <c r="F6" i="18"/>
  <c r="E6" i="18"/>
  <c r="D6" i="18"/>
  <c r="C6" i="18"/>
  <c r="G5" i="18"/>
  <c r="F5" i="18"/>
  <c r="E5" i="18"/>
  <c r="D5" i="18"/>
  <c r="C5" i="18"/>
  <c r="E15" i="18" l="1"/>
  <c r="G23" i="18"/>
  <c r="G24" i="18"/>
  <c r="C14" i="18"/>
  <c r="F25" i="18"/>
  <c r="F45" i="18" s="1"/>
  <c r="E14" i="18"/>
  <c r="G14" i="18"/>
  <c r="H5" i="18"/>
  <c r="H9" i="18"/>
  <c r="C15" i="18"/>
  <c r="G15" i="18"/>
  <c r="H11" i="18"/>
  <c r="H14" i="18" s="1"/>
  <c r="G22" i="18"/>
  <c r="G45" i="18" s="1"/>
  <c r="H6" i="18"/>
  <c r="H15" i="18" s="1"/>
  <c r="I8" i="17" l="1"/>
  <c r="J5" i="17"/>
  <c r="J6" i="17"/>
  <c r="K6" i="17" s="1"/>
  <c r="M6" i="17" s="1"/>
  <c r="J7" i="17"/>
  <c r="J4" i="17"/>
  <c r="M4" i="17" s="1"/>
  <c r="K5" i="17"/>
  <c r="M5" i="17" s="1"/>
  <c r="G5" i="17"/>
  <c r="G6" i="17"/>
  <c r="G7" i="17"/>
  <c r="G4" i="17"/>
  <c r="L8" i="17"/>
  <c r="E8" i="17"/>
  <c r="D5" i="17"/>
  <c r="D6" i="17"/>
  <c r="D7" i="17"/>
  <c r="D4" i="17"/>
  <c r="J8" i="17" l="1"/>
  <c r="K7" i="17"/>
  <c r="G8" i="17"/>
  <c r="M7" i="17" l="1"/>
  <c r="K8" i="17"/>
  <c r="M8" i="17" s="1"/>
  <c r="AB31" i="12" l="1"/>
  <c r="E34" i="11"/>
  <c r="M34" i="12" l="1"/>
  <c r="N35" i="12"/>
  <c r="N34" i="12"/>
  <c r="L37" i="12"/>
  <c r="M37" i="12"/>
  <c r="N37" i="12" s="1"/>
  <c r="K36" i="12"/>
  <c r="K35" i="12"/>
  <c r="K34" i="12"/>
  <c r="J36" i="12"/>
  <c r="J35" i="12"/>
  <c r="J34" i="12"/>
  <c r="H36" i="12"/>
  <c r="H35" i="12"/>
  <c r="H34" i="12"/>
  <c r="D43" i="12"/>
  <c r="D42" i="12"/>
  <c r="D41" i="12"/>
  <c r="D40" i="12"/>
  <c r="F36" i="12"/>
  <c r="F35" i="12"/>
  <c r="S24" i="15" l="1"/>
  <c r="R24" i="15"/>
  <c r="F24" i="15"/>
  <c r="E24" i="15"/>
  <c r="D24" i="15"/>
  <c r="C24" i="15"/>
  <c r="I23" i="15"/>
  <c r="M23" i="15" s="1"/>
  <c r="Q23" i="15" s="1"/>
  <c r="H23" i="15"/>
  <c r="L23" i="15" s="1"/>
  <c r="P23" i="15" s="1"/>
  <c r="G23" i="15"/>
  <c r="K23" i="15" s="1"/>
  <c r="B23" i="15"/>
  <c r="I22" i="15"/>
  <c r="M22" i="15" s="1"/>
  <c r="Q22" i="15" s="1"/>
  <c r="H22" i="15"/>
  <c r="L22" i="15" s="1"/>
  <c r="P22" i="15" s="1"/>
  <c r="G22" i="15"/>
  <c r="K22" i="15" s="1"/>
  <c r="B22" i="15"/>
  <c r="I21" i="15"/>
  <c r="M21" i="15" s="1"/>
  <c r="Q21" i="15" s="1"/>
  <c r="H21" i="15"/>
  <c r="L21" i="15" s="1"/>
  <c r="P21" i="15" s="1"/>
  <c r="G21" i="15"/>
  <c r="K21" i="15" s="1"/>
  <c r="B21" i="15"/>
  <c r="I20" i="15"/>
  <c r="M20" i="15" s="1"/>
  <c r="Q20" i="15" s="1"/>
  <c r="H20" i="15"/>
  <c r="L20" i="15" s="1"/>
  <c r="P20" i="15" s="1"/>
  <c r="G20" i="15"/>
  <c r="K20" i="15" s="1"/>
  <c r="B20" i="15"/>
  <c r="L19" i="15"/>
  <c r="P19" i="15" s="1"/>
  <c r="I19" i="15"/>
  <c r="M19" i="15" s="1"/>
  <c r="Q19" i="15" s="1"/>
  <c r="H19" i="15"/>
  <c r="G19" i="15"/>
  <c r="K19" i="15" s="1"/>
  <c r="B19" i="15"/>
  <c r="I18" i="15"/>
  <c r="M18" i="15" s="1"/>
  <c r="Q18" i="15" s="1"/>
  <c r="H18" i="15"/>
  <c r="L18" i="15" s="1"/>
  <c r="P18" i="15" s="1"/>
  <c r="G18" i="15"/>
  <c r="K18" i="15" s="1"/>
  <c r="B18" i="15"/>
  <c r="I17" i="15"/>
  <c r="M17" i="15" s="1"/>
  <c r="Q17" i="15" s="1"/>
  <c r="H17" i="15"/>
  <c r="L17" i="15" s="1"/>
  <c r="P17" i="15" s="1"/>
  <c r="G17" i="15"/>
  <c r="K17" i="15" s="1"/>
  <c r="B17" i="15"/>
  <c r="I16" i="15"/>
  <c r="M16" i="15" s="1"/>
  <c r="Q16" i="15" s="1"/>
  <c r="H16" i="15"/>
  <c r="L16" i="15" s="1"/>
  <c r="P16" i="15" s="1"/>
  <c r="G16" i="15"/>
  <c r="K16" i="15" s="1"/>
  <c r="B16" i="15"/>
  <c r="I15" i="15"/>
  <c r="M15" i="15" s="1"/>
  <c r="Q15" i="15" s="1"/>
  <c r="H15" i="15"/>
  <c r="L15" i="15" s="1"/>
  <c r="P15" i="15" s="1"/>
  <c r="G15" i="15"/>
  <c r="K15" i="15" s="1"/>
  <c r="B15" i="15"/>
  <c r="I14" i="15"/>
  <c r="M14" i="15" s="1"/>
  <c r="Q14" i="15" s="1"/>
  <c r="H14" i="15"/>
  <c r="L14" i="15" s="1"/>
  <c r="P14" i="15" s="1"/>
  <c r="G14" i="15"/>
  <c r="K14" i="15" s="1"/>
  <c r="B14" i="15"/>
  <c r="I13" i="15"/>
  <c r="M13" i="15" s="1"/>
  <c r="Q13" i="15" s="1"/>
  <c r="H13" i="15"/>
  <c r="L13" i="15" s="1"/>
  <c r="P13" i="15" s="1"/>
  <c r="G13" i="15"/>
  <c r="K13" i="15" s="1"/>
  <c r="B13" i="15"/>
  <c r="I12" i="15"/>
  <c r="M12" i="15" s="1"/>
  <c r="Q12" i="15" s="1"/>
  <c r="H12" i="15"/>
  <c r="L12" i="15" s="1"/>
  <c r="P12" i="15" s="1"/>
  <c r="G12" i="15"/>
  <c r="K12" i="15" s="1"/>
  <c r="B12" i="15"/>
  <c r="I11" i="15"/>
  <c r="M11" i="15" s="1"/>
  <c r="Q11" i="15" s="1"/>
  <c r="H11" i="15"/>
  <c r="L11" i="15" s="1"/>
  <c r="P11" i="15" s="1"/>
  <c r="G11" i="15"/>
  <c r="K11" i="15" s="1"/>
  <c r="B11" i="15"/>
  <c r="I10" i="15"/>
  <c r="M10" i="15" s="1"/>
  <c r="Q10" i="15" s="1"/>
  <c r="H10" i="15"/>
  <c r="L10" i="15" s="1"/>
  <c r="P10" i="15" s="1"/>
  <c r="G10" i="15"/>
  <c r="K10" i="15" s="1"/>
  <c r="B10" i="15"/>
  <c r="I9" i="15"/>
  <c r="M9" i="15" s="1"/>
  <c r="Q9" i="15" s="1"/>
  <c r="H9" i="15"/>
  <c r="L9" i="15" s="1"/>
  <c r="P9" i="15" s="1"/>
  <c r="G9" i="15"/>
  <c r="K9" i="15" s="1"/>
  <c r="B9" i="15"/>
  <c r="M8" i="15"/>
  <c r="Q8" i="15" s="1"/>
  <c r="I8" i="15"/>
  <c r="H8" i="15"/>
  <c r="L8" i="15" s="1"/>
  <c r="P8" i="15" s="1"/>
  <c r="G8" i="15"/>
  <c r="K8" i="15" s="1"/>
  <c r="B8" i="15"/>
  <c r="K7" i="15"/>
  <c r="I7" i="15"/>
  <c r="M7" i="15" s="1"/>
  <c r="Q7" i="15" s="1"/>
  <c r="H7" i="15"/>
  <c r="L7" i="15" s="1"/>
  <c r="P7" i="15" s="1"/>
  <c r="G7" i="15"/>
  <c r="B7" i="15"/>
  <c r="I6" i="15"/>
  <c r="M6" i="15" s="1"/>
  <c r="Q6" i="15" s="1"/>
  <c r="H6" i="15"/>
  <c r="L6" i="15" s="1"/>
  <c r="P6" i="15" s="1"/>
  <c r="G6" i="15"/>
  <c r="K6" i="15" s="1"/>
  <c r="B6" i="15"/>
  <c r="B24" i="15" s="1"/>
  <c r="I5" i="15"/>
  <c r="M5" i="15" s="1"/>
  <c r="H5" i="15"/>
  <c r="L5" i="15" s="1"/>
  <c r="G5" i="15"/>
  <c r="G24" i="15" s="1"/>
  <c r="J29" i="15" l="1"/>
  <c r="B27" i="15"/>
  <c r="J7" i="15"/>
  <c r="O20" i="15"/>
  <c r="N20" i="15" s="1"/>
  <c r="J20" i="15"/>
  <c r="O21" i="15"/>
  <c r="N21" i="15" s="1"/>
  <c r="J21" i="15"/>
  <c r="O22" i="15"/>
  <c r="N22" i="15" s="1"/>
  <c r="J22" i="15"/>
  <c r="O23" i="15"/>
  <c r="N23" i="15" s="1"/>
  <c r="J23" i="15"/>
  <c r="O6" i="15"/>
  <c r="N6" i="15" s="1"/>
  <c r="J6" i="15"/>
  <c r="O8" i="15"/>
  <c r="N8" i="15" s="1"/>
  <c r="J8" i="15"/>
  <c r="O9" i="15"/>
  <c r="N9" i="15" s="1"/>
  <c r="J9" i="15"/>
  <c r="O10" i="15"/>
  <c r="N10" i="15" s="1"/>
  <c r="J10" i="15"/>
  <c r="O11" i="15"/>
  <c r="N11" i="15" s="1"/>
  <c r="J11" i="15"/>
  <c r="O12" i="15"/>
  <c r="N12" i="15" s="1"/>
  <c r="J12" i="15"/>
  <c r="O13" i="15"/>
  <c r="N13" i="15" s="1"/>
  <c r="J13" i="15"/>
  <c r="O14" i="15"/>
  <c r="N14" i="15" s="1"/>
  <c r="J14" i="15"/>
  <c r="O15" i="15"/>
  <c r="N15" i="15" s="1"/>
  <c r="J15" i="15"/>
  <c r="O16" i="15"/>
  <c r="N16" i="15" s="1"/>
  <c r="J16" i="15"/>
  <c r="O17" i="15"/>
  <c r="N17" i="15" s="1"/>
  <c r="J17" i="15"/>
  <c r="O18" i="15"/>
  <c r="N18" i="15" s="1"/>
  <c r="J18" i="15"/>
  <c r="O19" i="15"/>
  <c r="N19" i="15" s="1"/>
  <c r="J19" i="15"/>
  <c r="P5" i="15"/>
  <c r="P24" i="15" s="1"/>
  <c r="L24" i="15"/>
  <c r="Q5" i="15"/>
  <c r="Q24" i="15" s="1"/>
  <c r="M24" i="15"/>
  <c r="K5" i="15"/>
  <c r="O7" i="15"/>
  <c r="N7" i="15" s="1"/>
  <c r="H24" i="15"/>
  <c r="I24" i="15"/>
  <c r="U7" i="15" l="1"/>
  <c r="T7" i="15"/>
  <c r="K24" i="15"/>
  <c r="O5" i="15"/>
  <c r="J5" i="15"/>
  <c r="J24" i="15" s="1"/>
  <c r="U18" i="15"/>
  <c r="T18" i="15"/>
  <c r="U14" i="15"/>
  <c r="T14" i="15"/>
  <c r="U10" i="15"/>
  <c r="T10" i="15"/>
  <c r="U8" i="15"/>
  <c r="T8" i="15"/>
  <c r="U21" i="15"/>
  <c r="T21" i="15"/>
  <c r="U19" i="15"/>
  <c r="T19" i="15"/>
  <c r="U17" i="15"/>
  <c r="T17" i="15"/>
  <c r="U15" i="15"/>
  <c r="T15" i="15"/>
  <c r="U13" i="15"/>
  <c r="T13" i="15"/>
  <c r="U11" i="15"/>
  <c r="T11" i="15"/>
  <c r="U9" i="15"/>
  <c r="T9" i="15"/>
  <c r="U6" i="15"/>
  <c r="T6" i="15"/>
  <c r="U22" i="15"/>
  <c r="T22" i="15"/>
  <c r="U20" i="15"/>
  <c r="T20" i="15"/>
  <c r="U12" i="15"/>
  <c r="T12" i="15"/>
  <c r="U23" i="15"/>
  <c r="T23" i="15"/>
  <c r="U16" i="15"/>
  <c r="T16" i="15"/>
  <c r="O24" i="15" l="1"/>
  <c r="N5" i="15"/>
  <c r="N24" i="15" l="1"/>
  <c r="U5" i="15"/>
  <c r="T5" i="15"/>
  <c r="U24" i="15" l="1"/>
  <c r="T24" i="15"/>
  <c r="X28" i="12" l="1"/>
  <c r="G6" i="12"/>
  <c r="G29" i="12" s="1"/>
  <c r="P6" i="12"/>
  <c r="T6" i="12"/>
  <c r="V6" i="12"/>
  <c r="V29" i="12" s="1"/>
  <c r="W6" i="12"/>
  <c r="W29" i="12" s="1"/>
  <c r="X6" i="12"/>
  <c r="S13" i="12"/>
  <c r="C42" i="12"/>
  <c r="I17" i="12"/>
  <c r="X29" i="12" l="1"/>
  <c r="AB23" i="14" l="1"/>
  <c r="W34" i="14" l="1"/>
  <c r="X34" i="14" s="1"/>
  <c r="R34" i="14"/>
  <c r="K34" i="14"/>
  <c r="K35" i="14" s="1"/>
  <c r="C34" i="14"/>
  <c r="Z33" i="14"/>
  <c r="W33" i="14"/>
  <c r="X33" i="14" s="1"/>
  <c r="H33" i="14"/>
  <c r="I33" i="14" s="1"/>
  <c r="J33" i="14" s="1"/>
  <c r="Z32" i="14"/>
  <c r="Y32" i="14" s="1"/>
  <c r="X32" i="14"/>
  <c r="W32" i="14"/>
  <c r="H32" i="14"/>
  <c r="I32" i="14" s="1"/>
  <c r="J32" i="14" s="1"/>
  <c r="AA32" i="14" s="1"/>
  <c r="AB32" i="14" s="1"/>
  <c r="AC32" i="14" s="1"/>
  <c r="Z31" i="14"/>
  <c r="Y31" i="14" s="1"/>
  <c r="X31" i="14"/>
  <c r="W31" i="14"/>
  <c r="H31" i="14"/>
  <c r="I31" i="14" s="1"/>
  <c r="J31" i="14" s="1"/>
  <c r="AA31" i="14" s="1"/>
  <c r="AB31" i="14" s="1"/>
  <c r="AC31" i="14" s="1"/>
  <c r="Z30" i="14"/>
  <c r="Y30" i="14" s="1"/>
  <c r="X30" i="14"/>
  <c r="W30" i="14"/>
  <c r="H30" i="14"/>
  <c r="I30" i="14" s="1"/>
  <c r="Z29" i="14"/>
  <c r="Y29" i="14" s="1"/>
  <c r="X29" i="14"/>
  <c r="W29" i="14"/>
  <c r="H29" i="14"/>
  <c r="I29" i="14" s="1"/>
  <c r="J29" i="14" s="1"/>
  <c r="AA29" i="14" s="1"/>
  <c r="AB29" i="14" s="1"/>
  <c r="AC29" i="14" s="1"/>
  <c r="Z28" i="14"/>
  <c r="Z27" i="14"/>
  <c r="W27" i="14"/>
  <c r="X27" i="14" s="1"/>
  <c r="Y27" i="14" s="1"/>
  <c r="I27" i="14"/>
  <c r="J27" i="14" s="1"/>
  <c r="H27" i="14"/>
  <c r="Z26" i="14"/>
  <c r="W26" i="14"/>
  <c r="X26" i="14" s="1"/>
  <c r="Y26" i="14" s="1"/>
  <c r="I26" i="14"/>
  <c r="J26" i="14" s="1"/>
  <c r="H26" i="14"/>
  <c r="Z25" i="14"/>
  <c r="W25" i="14"/>
  <c r="X25" i="14" s="1"/>
  <c r="Y25" i="14" s="1"/>
  <c r="I25" i="14"/>
  <c r="J25" i="14" s="1"/>
  <c r="H25" i="14"/>
  <c r="Z24" i="14"/>
  <c r="W24" i="14"/>
  <c r="X24" i="14" s="1"/>
  <c r="Y24" i="14" s="1"/>
  <c r="Y28" i="14" s="1"/>
  <c r="I24" i="14"/>
  <c r="J24" i="14" s="1"/>
  <c r="H24" i="14"/>
  <c r="N23" i="14"/>
  <c r="M23" i="14"/>
  <c r="L23" i="14"/>
  <c r="K23" i="14"/>
  <c r="F23" i="14"/>
  <c r="E23" i="14"/>
  <c r="D23" i="14"/>
  <c r="C23" i="14"/>
  <c r="Z20" i="14"/>
  <c r="Y20" i="14" s="1"/>
  <c r="X20" i="14"/>
  <c r="W20" i="14"/>
  <c r="R20" i="14"/>
  <c r="Q20" i="14"/>
  <c r="Z19" i="14"/>
  <c r="W19" i="14"/>
  <c r="X19" i="14" s="1"/>
  <c r="Y19" i="14" s="1"/>
  <c r="I19" i="14"/>
  <c r="J19" i="14" s="1"/>
  <c r="H19" i="14"/>
  <c r="Z18" i="14"/>
  <c r="W18" i="14"/>
  <c r="X18" i="14" s="1"/>
  <c r="Y18" i="14" s="1"/>
  <c r="I18" i="14"/>
  <c r="J18" i="14" s="1"/>
  <c r="H18" i="14"/>
  <c r="Z17" i="14"/>
  <c r="W17" i="14"/>
  <c r="X17" i="14" s="1"/>
  <c r="Y17" i="14" s="1"/>
  <c r="I17" i="14"/>
  <c r="J17" i="14" s="1"/>
  <c r="H17" i="14"/>
  <c r="Z16" i="14"/>
  <c r="W16" i="14"/>
  <c r="X16" i="14" s="1"/>
  <c r="Y16" i="14" s="1"/>
  <c r="I16" i="14"/>
  <c r="J16" i="14" s="1"/>
  <c r="H16" i="14"/>
  <c r="Z15" i="14"/>
  <c r="W15" i="14"/>
  <c r="X15" i="14" s="1"/>
  <c r="Y15" i="14" s="1"/>
  <c r="Q15" i="14"/>
  <c r="R15" i="14" s="1"/>
  <c r="Z14" i="14"/>
  <c r="Y14" i="14" s="1"/>
  <c r="X14" i="14"/>
  <c r="W14" i="14"/>
  <c r="H14" i="14"/>
  <c r="I14" i="14" s="1"/>
  <c r="J14" i="14" s="1"/>
  <c r="Z13" i="14"/>
  <c r="Y13" i="14" s="1"/>
  <c r="X13" i="14"/>
  <c r="W13" i="14"/>
  <c r="H13" i="14"/>
  <c r="I13" i="14" s="1"/>
  <c r="J13" i="14" s="1"/>
  <c r="Z12" i="14"/>
  <c r="Y12" i="14" s="1"/>
  <c r="X12" i="14"/>
  <c r="W12" i="14"/>
  <c r="H12" i="14"/>
  <c r="I12" i="14" s="1"/>
  <c r="J12" i="14" s="1"/>
  <c r="Z11" i="14"/>
  <c r="Y11" i="14" s="1"/>
  <c r="X11" i="14"/>
  <c r="W11" i="14"/>
  <c r="H11" i="14"/>
  <c r="I11" i="14" s="1"/>
  <c r="J11" i="14" s="1"/>
  <c r="Z10" i="14"/>
  <c r="Y10" i="14" s="1"/>
  <c r="X10" i="14"/>
  <c r="W10" i="14"/>
  <c r="H10" i="14"/>
  <c r="I10" i="14" s="1"/>
  <c r="J10" i="14" s="1"/>
  <c r="Z9" i="14"/>
  <c r="Y9" i="14" s="1"/>
  <c r="X9" i="14"/>
  <c r="W9" i="14"/>
  <c r="H9" i="14"/>
  <c r="I9" i="14" s="1"/>
  <c r="J9" i="14" s="1"/>
  <c r="Z8" i="14"/>
  <c r="Y8" i="14" s="1"/>
  <c r="X8" i="14"/>
  <c r="W8" i="14"/>
  <c r="H8" i="14"/>
  <c r="I8" i="14" s="1"/>
  <c r="J8" i="14" s="1"/>
  <c r="Z7" i="14"/>
  <c r="Y7" i="14" s="1"/>
  <c r="X7" i="14"/>
  <c r="W7" i="14"/>
  <c r="H7" i="14"/>
  <c r="I7" i="14" s="1"/>
  <c r="J7" i="14" s="1"/>
  <c r="Z6" i="14"/>
  <c r="Y6" i="14" s="1"/>
  <c r="X6" i="14"/>
  <c r="W6" i="14"/>
  <c r="H6" i="14"/>
  <c r="I6" i="14" s="1"/>
  <c r="J6" i="14" s="1"/>
  <c r="Z5" i="14"/>
  <c r="Y5" i="14" s="1"/>
  <c r="X5" i="14"/>
  <c r="W5" i="14"/>
  <c r="H5" i="14"/>
  <c r="I5" i="14" s="1"/>
  <c r="J5" i="14" s="1"/>
  <c r="Z4" i="14"/>
  <c r="Y4" i="14" s="1"/>
  <c r="Y23" i="14" s="1"/>
  <c r="X4" i="14"/>
  <c r="W4" i="14"/>
  <c r="H4" i="14"/>
  <c r="I4" i="14" s="1"/>
  <c r="C35" i="14" l="1"/>
  <c r="R35" i="14"/>
  <c r="Y33" i="14"/>
  <c r="AA33" i="14" s="1"/>
  <c r="AB33" i="14" s="1"/>
  <c r="AC33" i="14" s="1"/>
  <c r="I23" i="14"/>
  <c r="J4" i="14"/>
  <c r="AA5" i="14"/>
  <c r="AB5" i="14" s="1"/>
  <c r="AC5" i="14" s="1"/>
  <c r="AA6" i="14"/>
  <c r="AB6" i="14" s="1"/>
  <c r="AC6" i="14" s="1"/>
  <c r="AA7" i="14"/>
  <c r="AB7" i="14" s="1"/>
  <c r="AC7" i="14" s="1"/>
  <c r="AA8" i="14"/>
  <c r="AB8" i="14" s="1"/>
  <c r="AC8" i="14" s="1"/>
  <c r="AA9" i="14"/>
  <c r="AB9" i="14" s="1"/>
  <c r="AC9" i="14" s="1"/>
  <c r="AA10" i="14"/>
  <c r="AB10" i="14" s="1"/>
  <c r="AC10" i="14" s="1"/>
  <c r="AA11" i="14"/>
  <c r="AB11" i="14" s="1"/>
  <c r="AC11" i="14" s="1"/>
  <c r="AA12" i="14"/>
  <c r="AB12" i="14" s="1"/>
  <c r="AC12" i="14" s="1"/>
  <c r="AA13" i="14"/>
  <c r="AB13" i="14" s="1"/>
  <c r="AC13" i="14" s="1"/>
  <c r="AA14" i="14"/>
  <c r="AB14" i="14" s="1"/>
  <c r="AC14" i="14" s="1"/>
  <c r="AA15" i="14"/>
  <c r="AB15" i="14" s="1"/>
  <c r="AC15" i="14" s="1"/>
  <c r="R23" i="14"/>
  <c r="AA16" i="14"/>
  <c r="AB16" i="14" s="1"/>
  <c r="AC16" i="14" s="1"/>
  <c r="AA17" i="14"/>
  <c r="AB17" i="14" s="1"/>
  <c r="AC17" i="14" s="1"/>
  <c r="AA18" i="14"/>
  <c r="AB18" i="14" s="1"/>
  <c r="AC18" i="14" s="1"/>
  <c r="AA19" i="14"/>
  <c r="AB19" i="14" s="1"/>
  <c r="AC19" i="14" s="1"/>
  <c r="AA20" i="14"/>
  <c r="AB20" i="14" s="1"/>
  <c r="AC20" i="14" s="1"/>
  <c r="Z35" i="14"/>
  <c r="J28" i="14"/>
  <c r="AA28" i="14" s="1"/>
  <c r="AB28" i="14" s="1"/>
  <c r="AC28" i="14" s="1"/>
  <c r="AA24" i="14"/>
  <c r="AB24" i="14" s="1"/>
  <c r="AC24" i="14" s="1"/>
  <c r="AA25" i="14"/>
  <c r="AB25" i="14" s="1"/>
  <c r="AC25" i="14" s="1"/>
  <c r="AA26" i="14"/>
  <c r="AB26" i="14" s="1"/>
  <c r="AC26" i="14" s="1"/>
  <c r="AA27" i="14"/>
  <c r="AB27" i="14" s="1"/>
  <c r="AC27" i="14" s="1"/>
  <c r="I34" i="14"/>
  <c r="I35" i="14" s="1"/>
  <c r="J30" i="14"/>
  <c r="I28" i="14"/>
  <c r="Z23" i="14"/>
  <c r="Z34" i="14"/>
  <c r="Y34" i="14" s="1"/>
  <c r="Y35" i="14" s="1"/>
  <c r="J23" i="14" l="1"/>
  <c r="AA4" i="14"/>
  <c r="AA30" i="14"/>
  <c r="AB30" i="14" s="1"/>
  <c r="AC30" i="14" s="1"/>
  <c r="J34" i="14"/>
  <c r="AA23" i="14" l="1"/>
  <c r="AB4" i="14"/>
  <c r="AA34" i="14"/>
  <c r="AB34" i="14" s="1"/>
  <c r="AC34" i="14" s="1"/>
  <c r="J35" i="14"/>
  <c r="AA35" i="14" s="1"/>
  <c r="AB35" i="14" s="1"/>
  <c r="AC35" i="14" s="1"/>
  <c r="O27" i="13"/>
  <c r="P27" i="13" s="1"/>
  <c r="Q27" i="13" s="1"/>
  <c r="K27" i="13"/>
  <c r="L27" i="13" s="1"/>
  <c r="J27" i="13"/>
  <c r="I27" i="13"/>
  <c r="G27" i="13"/>
  <c r="C27" i="13"/>
  <c r="B27" i="13" s="1"/>
  <c r="O26" i="13"/>
  <c r="P26" i="13" s="1"/>
  <c r="Q26" i="13" s="1"/>
  <c r="K26" i="13"/>
  <c r="L26" i="13" s="1"/>
  <c r="J26" i="13"/>
  <c r="I26" i="13"/>
  <c r="G26" i="13"/>
  <c r="C26" i="13"/>
  <c r="B26" i="13"/>
  <c r="M25" i="13"/>
  <c r="N25" i="13" s="1"/>
  <c r="L25" i="13"/>
  <c r="R25" i="13" s="1"/>
  <c r="K25" i="13"/>
  <c r="I25" i="13"/>
  <c r="J25" i="13" s="1"/>
  <c r="G25" i="13"/>
  <c r="O25" i="13" s="1"/>
  <c r="P25" i="13" s="1"/>
  <c r="Q25" i="13" s="1"/>
  <c r="C25" i="13"/>
  <c r="B25" i="13"/>
  <c r="L24" i="13"/>
  <c r="M24" i="13" s="1"/>
  <c r="K24" i="13"/>
  <c r="I24" i="13"/>
  <c r="J24" i="13" s="1"/>
  <c r="G24" i="13"/>
  <c r="O24" i="13" s="1"/>
  <c r="P24" i="13" s="1"/>
  <c r="Q24" i="13" s="1"/>
  <c r="C24" i="13"/>
  <c r="B24" i="13" s="1"/>
  <c r="O23" i="13"/>
  <c r="P23" i="13" s="1"/>
  <c r="Q23" i="13" s="1"/>
  <c r="K23" i="13"/>
  <c r="L23" i="13" s="1"/>
  <c r="J23" i="13"/>
  <c r="I23" i="13"/>
  <c r="G23" i="13"/>
  <c r="C23" i="13"/>
  <c r="B23" i="13" s="1"/>
  <c r="O22" i="13"/>
  <c r="P22" i="13" s="1"/>
  <c r="Q22" i="13" s="1"/>
  <c r="K22" i="13"/>
  <c r="L22" i="13" s="1"/>
  <c r="J22" i="13"/>
  <c r="I22" i="13"/>
  <c r="G22" i="13"/>
  <c r="C22" i="13"/>
  <c r="B22" i="13"/>
  <c r="M21" i="13"/>
  <c r="N21" i="13" s="1"/>
  <c r="T21" i="13" s="1"/>
  <c r="L21" i="13"/>
  <c r="K21" i="13"/>
  <c r="I21" i="13"/>
  <c r="J21" i="13" s="1"/>
  <c r="G21" i="13"/>
  <c r="O21" i="13" s="1"/>
  <c r="P21" i="13" s="1"/>
  <c r="Q21" i="13" s="1"/>
  <c r="C21" i="13"/>
  <c r="B21" i="13"/>
  <c r="L20" i="13"/>
  <c r="M20" i="13" s="1"/>
  <c r="K20" i="13"/>
  <c r="I20" i="13"/>
  <c r="J20" i="13" s="1"/>
  <c r="G20" i="13"/>
  <c r="O20" i="13" s="1"/>
  <c r="P20" i="13" s="1"/>
  <c r="Q20" i="13" s="1"/>
  <c r="C20" i="13"/>
  <c r="B20" i="13" s="1"/>
  <c r="O19" i="13"/>
  <c r="P19" i="13" s="1"/>
  <c r="Q19" i="13" s="1"/>
  <c r="K19" i="13"/>
  <c r="L19" i="13" s="1"/>
  <c r="J19" i="13"/>
  <c r="I19" i="13"/>
  <c r="G19" i="13"/>
  <c r="C19" i="13"/>
  <c r="B19" i="13" s="1"/>
  <c r="O18" i="13"/>
  <c r="P18" i="13" s="1"/>
  <c r="Q18" i="13" s="1"/>
  <c r="K18" i="13"/>
  <c r="L18" i="13" s="1"/>
  <c r="J18" i="13"/>
  <c r="I18" i="13"/>
  <c r="G18" i="13"/>
  <c r="C18" i="13"/>
  <c r="B18" i="13"/>
  <c r="M17" i="13"/>
  <c r="N17" i="13" s="1"/>
  <c r="L17" i="13"/>
  <c r="R17" i="13" s="1"/>
  <c r="K17" i="13"/>
  <c r="I17" i="13"/>
  <c r="J17" i="13" s="1"/>
  <c r="G17" i="13"/>
  <c r="O17" i="13" s="1"/>
  <c r="P17" i="13" s="1"/>
  <c r="Q17" i="13" s="1"/>
  <c r="C17" i="13"/>
  <c r="B17" i="13"/>
  <c r="L16" i="13"/>
  <c r="M16" i="13" s="1"/>
  <c r="K16" i="13"/>
  <c r="I16" i="13"/>
  <c r="J16" i="13" s="1"/>
  <c r="G16" i="13"/>
  <c r="O16" i="13" s="1"/>
  <c r="P16" i="13" s="1"/>
  <c r="Q16" i="13" s="1"/>
  <c r="C16" i="13"/>
  <c r="B16" i="13" s="1"/>
  <c r="O15" i="13"/>
  <c r="P15" i="13" s="1"/>
  <c r="Q15" i="13" s="1"/>
  <c r="K15" i="13"/>
  <c r="L15" i="13" s="1"/>
  <c r="J15" i="13"/>
  <c r="I15" i="13"/>
  <c r="G15" i="13"/>
  <c r="C15" i="13"/>
  <c r="B15" i="13" s="1"/>
  <c r="O14" i="13"/>
  <c r="P14" i="13" s="1"/>
  <c r="Q14" i="13" s="1"/>
  <c r="K14" i="13"/>
  <c r="L14" i="13" s="1"/>
  <c r="I14" i="13"/>
  <c r="J14" i="13" s="1"/>
  <c r="G14" i="13"/>
  <c r="C14" i="13"/>
  <c r="B14" i="13"/>
  <c r="L13" i="13"/>
  <c r="K13" i="13"/>
  <c r="I13" i="13"/>
  <c r="J13" i="13" s="1"/>
  <c r="G13" i="13"/>
  <c r="O13" i="13" s="1"/>
  <c r="P13" i="13" s="1"/>
  <c r="Q13" i="13" s="1"/>
  <c r="C13" i="13"/>
  <c r="B13" i="13"/>
  <c r="O12" i="13"/>
  <c r="P12" i="13" s="1"/>
  <c r="Q12" i="13" s="1"/>
  <c r="K12" i="13"/>
  <c r="L12" i="13" s="1"/>
  <c r="I12" i="13"/>
  <c r="J12" i="13" s="1"/>
  <c r="G12" i="13"/>
  <c r="C12" i="13"/>
  <c r="B12" i="13" s="1"/>
  <c r="O11" i="13"/>
  <c r="P11" i="13" s="1"/>
  <c r="Q11" i="13" s="1"/>
  <c r="K11" i="13"/>
  <c r="L11" i="13" s="1"/>
  <c r="J11" i="13"/>
  <c r="I11" i="13"/>
  <c r="G11" i="13"/>
  <c r="C11" i="13"/>
  <c r="B11" i="13"/>
  <c r="O10" i="13"/>
  <c r="P10" i="13" s="1"/>
  <c r="Q10" i="13" s="1"/>
  <c r="K10" i="13"/>
  <c r="L10" i="13" s="1"/>
  <c r="I10" i="13"/>
  <c r="J10" i="13" s="1"/>
  <c r="G10" i="13"/>
  <c r="C10" i="13"/>
  <c r="B10" i="13"/>
  <c r="L9" i="13"/>
  <c r="K9" i="13"/>
  <c r="I9" i="13"/>
  <c r="J9" i="13" s="1"/>
  <c r="G9" i="13"/>
  <c r="G8" i="13" s="1"/>
  <c r="C9" i="13"/>
  <c r="B9" i="13"/>
  <c r="F8" i="13"/>
  <c r="E8" i="13"/>
  <c r="D8" i="13"/>
  <c r="C8" i="13"/>
  <c r="AC4" i="14" l="1"/>
  <c r="R14" i="13"/>
  <c r="M14" i="13"/>
  <c r="T25" i="13"/>
  <c r="R27" i="13"/>
  <c r="M27" i="13"/>
  <c r="B8" i="13"/>
  <c r="R22" i="13"/>
  <c r="M22" i="13"/>
  <c r="S24" i="13"/>
  <c r="N24" i="13"/>
  <c r="T24" i="13" s="1"/>
  <c r="L8" i="13"/>
  <c r="R11" i="13"/>
  <c r="M11" i="13"/>
  <c r="R13" i="13"/>
  <c r="T17" i="13"/>
  <c r="R19" i="13"/>
  <c r="M19" i="13"/>
  <c r="R21" i="13"/>
  <c r="R26" i="13"/>
  <c r="M26" i="13"/>
  <c r="R23" i="13"/>
  <c r="M23" i="13"/>
  <c r="M10" i="13"/>
  <c r="R10" i="13"/>
  <c r="M12" i="13"/>
  <c r="R12" i="13"/>
  <c r="S16" i="13"/>
  <c r="N16" i="13"/>
  <c r="T16" i="13" s="1"/>
  <c r="R18" i="13"/>
  <c r="M18" i="13"/>
  <c r="S20" i="13"/>
  <c r="N20" i="13"/>
  <c r="T20" i="13" s="1"/>
  <c r="R15" i="13"/>
  <c r="M15" i="13"/>
  <c r="M9" i="13"/>
  <c r="M13" i="13"/>
  <c r="O9" i="13"/>
  <c r="R16" i="13"/>
  <c r="S17" i="13"/>
  <c r="R20" i="13"/>
  <c r="S21" i="13"/>
  <c r="R24" i="13"/>
  <c r="S25" i="13"/>
  <c r="N9" i="13" l="1"/>
  <c r="M8" i="13"/>
  <c r="S9" i="13"/>
  <c r="P9" i="13"/>
  <c r="O8" i="13"/>
  <c r="S15" i="13"/>
  <c r="N15" i="13"/>
  <c r="T15" i="13" s="1"/>
  <c r="S18" i="13"/>
  <c r="N18" i="13"/>
  <c r="T18" i="13" s="1"/>
  <c r="S23" i="13"/>
  <c r="N23" i="13"/>
  <c r="T23" i="13" s="1"/>
  <c r="S14" i="13"/>
  <c r="N14" i="13"/>
  <c r="T14" i="13" s="1"/>
  <c r="R9" i="13"/>
  <c r="R8" i="13" s="1"/>
  <c r="S12" i="13"/>
  <c r="N12" i="13"/>
  <c r="T12" i="13" s="1"/>
  <c r="S19" i="13"/>
  <c r="N19" i="13"/>
  <c r="T19" i="13" s="1"/>
  <c r="S11" i="13"/>
  <c r="N11" i="13"/>
  <c r="T11" i="13" s="1"/>
  <c r="S27" i="13"/>
  <c r="N27" i="13"/>
  <c r="T27" i="13" s="1"/>
  <c r="N13" i="13"/>
  <c r="T13" i="13" s="1"/>
  <c r="S13" i="13"/>
  <c r="S26" i="13"/>
  <c r="N26" i="13"/>
  <c r="T26" i="13" s="1"/>
  <c r="S22" i="13"/>
  <c r="N22" i="13"/>
  <c r="T22" i="13" s="1"/>
  <c r="S10" i="13"/>
  <c r="N10" i="13"/>
  <c r="T10" i="13" s="1"/>
  <c r="S8" i="13" l="1"/>
  <c r="N8" i="13"/>
  <c r="T9" i="13"/>
  <c r="T8" i="13" s="1"/>
  <c r="Q9" i="13"/>
  <c r="Q8" i="13" s="1"/>
  <c r="P8" i="13"/>
  <c r="C6" i="12" l="1"/>
  <c r="C29" i="12" s="1"/>
  <c r="E6" i="12"/>
  <c r="E29" i="12" s="1"/>
  <c r="AE7" i="12"/>
  <c r="AE6" i="12" s="1"/>
  <c r="F8" i="12"/>
  <c r="AF8" i="12" s="1"/>
  <c r="AE8" i="12"/>
  <c r="AD8" i="12" s="1"/>
  <c r="F9" i="12"/>
  <c r="AF9" i="12" s="1"/>
  <c r="AE9" i="12"/>
  <c r="AD9" i="12" s="1"/>
  <c r="F10" i="12"/>
  <c r="AF10" i="12" s="1"/>
  <c r="AE10" i="12"/>
  <c r="AD10" i="12" s="1"/>
  <c r="F11" i="12"/>
  <c r="AF11" i="12" s="1"/>
  <c r="AE11" i="12"/>
  <c r="AD11" i="12" s="1"/>
  <c r="F12" i="12"/>
  <c r="AE12" i="12"/>
  <c r="AD12" i="12" s="1"/>
  <c r="AE13" i="12"/>
  <c r="AD13" i="12" s="1"/>
  <c r="AF13" i="12"/>
  <c r="F14" i="12"/>
  <c r="AF14" i="12" s="1"/>
  <c r="AE14" i="12"/>
  <c r="AD14" i="12" s="1"/>
  <c r="F15" i="12"/>
  <c r="AF15" i="12" s="1"/>
  <c r="AE15" i="12"/>
  <c r="AD15" i="12" s="1"/>
  <c r="F16" i="12"/>
  <c r="AE16" i="12"/>
  <c r="AD16" i="12" s="1"/>
  <c r="AF16" i="12"/>
  <c r="F17" i="12"/>
  <c r="AE17" i="12"/>
  <c r="AD17" i="12" s="1"/>
  <c r="F18" i="12"/>
  <c r="AE18" i="12"/>
  <c r="AD18" i="12" s="1"/>
  <c r="C19" i="12"/>
  <c r="E19" i="12"/>
  <c r="F19" i="12"/>
  <c r="AD19" i="12"/>
  <c r="AE19" i="12"/>
  <c r="AF19" i="12"/>
  <c r="D20" i="12"/>
  <c r="D19" i="12" s="1"/>
  <c r="C21" i="12"/>
  <c r="E21" i="12"/>
  <c r="F21" i="12"/>
  <c r="D22" i="12"/>
  <c r="D21" i="12" s="1"/>
  <c r="C23" i="12"/>
  <c r="E23" i="12"/>
  <c r="F23" i="12"/>
  <c r="AD23" i="12"/>
  <c r="AE23" i="12"/>
  <c r="AF23" i="12"/>
  <c r="D24" i="12"/>
  <c r="D23" i="12" s="1"/>
  <c r="C40" i="12"/>
  <c r="C43" i="12"/>
  <c r="O19" i="12" l="1"/>
  <c r="I20" i="12"/>
  <c r="O20" i="12" s="1"/>
  <c r="I22" i="12"/>
  <c r="O22" i="12" s="1"/>
  <c r="I24" i="12"/>
  <c r="O24" i="12" s="1"/>
  <c r="I26" i="12"/>
  <c r="O26" i="12" s="1"/>
  <c r="I28" i="12"/>
  <c r="O28" i="12" s="1"/>
  <c r="I19" i="12"/>
  <c r="I21" i="12"/>
  <c r="O21" i="12" s="1"/>
  <c r="I23" i="12"/>
  <c r="O23" i="12" s="1"/>
  <c r="I25" i="12"/>
  <c r="I27" i="12"/>
  <c r="O27" i="12" s="1"/>
  <c r="AF18" i="12"/>
  <c r="AD7" i="12"/>
  <c r="AD6" i="12" s="1"/>
  <c r="C41" i="12"/>
  <c r="I9" i="12"/>
  <c r="O9" i="12" s="1"/>
  <c r="I14" i="12"/>
  <c r="I10" i="12"/>
  <c r="I18" i="12"/>
  <c r="O18" i="12" s="1"/>
  <c r="I7" i="12"/>
  <c r="I11" i="12"/>
  <c r="I13" i="12"/>
  <c r="O13" i="12" s="1"/>
  <c r="I15" i="12"/>
  <c r="I8" i="12"/>
  <c r="O8" i="12" s="1"/>
  <c r="I12" i="12"/>
  <c r="I16" i="12"/>
  <c r="H17" i="12"/>
  <c r="N17" i="12" s="1"/>
  <c r="K17" i="12"/>
  <c r="R17" i="12" s="1"/>
  <c r="C25" i="12"/>
  <c r="O17" i="12"/>
  <c r="O16" i="12"/>
  <c r="O12" i="12"/>
  <c r="O11" i="12"/>
  <c r="AF17" i="12"/>
  <c r="AF12" i="12"/>
  <c r="E25" i="12"/>
  <c r="O15" i="12"/>
  <c r="O14" i="12"/>
  <c r="O10" i="12"/>
  <c r="L17" i="12"/>
  <c r="S17" i="12" s="1"/>
  <c r="Y17" i="12" l="1"/>
  <c r="Q17" i="12"/>
  <c r="L19" i="12"/>
  <c r="S19" i="12" s="1"/>
  <c r="L21" i="12"/>
  <c r="S21" i="12" s="1"/>
  <c r="Z21" i="12" s="1"/>
  <c r="L23" i="12"/>
  <c r="S23" i="12" s="1"/>
  <c r="L25" i="12"/>
  <c r="L26" i="12"/>
  <c r="S26" i="12" s="1"/>
  <c r="L28" i="12"/>
  <c r="S28" i="12" s="1"/>
  <c r="L20" i="12"/>
  <c r="S20" i="12" s="1"/>
  <c r="L22" i="12"/>
  <c r="S22" i="12" s="1"/>
  <c r="L24" i="12"/>
  <c r="S24" i="12" s="1"/>
  <c r="L27" i="12"/>
  <c r="S27" i="12" s="1"/>
  <c r="J26" i="12"/>
  <c r="P26" i="12" s="1"/>
  <c r="P29" i="12" s="1"/>
  <c r="H20" i="12"/>
  <c r="N20" i="12" s="1"/>
  <c r="H22" i="12"/>
  <c r="N22" i="12" s="1"/>
  <c r="H24" i="12"/>
  <c r="N24" i="12" s="1"/>
  <c r="Q24" i="12" s="1"/>
  <c r="H26" i="12"/>
  <c r="N26" i="12" s="1"/>
  <c r="Q26" i="12" s="1"/>
  <c r="H28" i="12"/>
  <c r="N28" i="12" s="1"/>
  <c r="H19" i="12"/>
  <c r="N19" i="12" s="1"/>
  <c r="Q19" i="12" s="1"/>
  <c r="H21" i="12"/>
  <c r="N21" i="12" s="1"/>
  <c r="Q21" i="12" s="1"/>
  <c r="H23" i="12"/>
  <c r="N23" i="12" s="1"/>
  <c r="Q23" i="12" s="1"/>
  <c r="H25" i="12"/>
  <c r="N25" i="12" s="1"/>
  <c r="H27" i="12"/>
  <c r="N27" i="12" s="1"/>
  <c r="Q27" i="12"/>
  <c r="Q22" i="12"/>
  <c r="Q28" i="12"/>
  <c r="Q20" i="12"/>
  <c r="U17" i="12"/>
  <c r="AG17" i="12" s="1"/>
  <c r="Z17" i="12"/>
  <c r="Z13" i="12"/>
  <c r="H7" i="12"/>
  <c r="N7" i="12" s="1"/>
  <c r="H10" i="12"/>
  <c r="N10" i="12" s="1"/>
  <c r="Q10" i="12" s="1"/>
  <c r="H14" i="12"/>
  <c r="N14" i="12" s="1"/>
  <c r="Q14" i="12" s="1"/>
  <c r="H9" i="12"/>
  <c r="N9" i="12" s="1"/>
  <c r="Q9" i="12" s="1"/>
  <c r="H11" i="12"/>
  <c r="N11" i="12" s="1"/>
  <c r="Q11" i="12" s="1"/>
  <c r="H13" i="12"/>
  <c r="N13" i="12" s="1"/>
  <c r="Q13" i="12" s="1"/>
  <c r="H15" i="12"/>
  <c r="N15" i="12" s="1"/>
  <c r="Q15" i="12" s="1"/>
  <c r="H18" i="12"/>
  <c r="H8" i="12"/>
  <c r="N8" i="12" s="1"/>
  <c r="Q8" i="12" s="1"/>
  <c r="H12" i="12"/>
  <c r="N12" i="12" s="1"/>
  <c r="Q12" i="12" s="1"/>
  <c r="H16" i="12"/>
  <c r="N16" i="12" s="1"/>
  <c r="Q16" i="12" s="1"/>
  <c r="L7" i="12"/>
  <c r="L9" i="12"/>
  <c r="L11" i="12"/>
  <c r="L14" i="12"/>
  <c r="S14" i="12" s="1"/>
  <c r="L18" i="12"/>
  <c r="S18" i="12" s="1"/>
  <c r="L8" i="12"/>
  <c r="L10" i="12"/>
  <c r="L12" i="12"/>
  <c r="L15" i="12"/>
  <c r="S15" i="12" s="1"/>
  <c r="L16" i="12"/>
  <c r="S16" i="12" s="1"/>
  <c r="Z20" i="12" l="1"/>
  <c r="Z23" i="12"/>
  <c r="Z27" i="12"/>
  <c r="M26" i="12"/>
  <c r="T26" i="12" s="1"/>
  <c r="K26" i="12"/>
  <c r="R26" i="12" s="1"/>
  <c r="Y26" i="12" s="1"/>
  <c r="K28" i="12"/>
  <c r="R28" i="12" s="1"/>
  <c r="U28" i="12" s="1"/>
  <c r="K20" i="12"/>
  <c r="R20" i="12" s="1"/>
  <c r="Y20" i="12" s="1"/>
  <c r="K22" i="12"/>
  <c r="R22" i="12" s="1"/>
  <c r="Y22" i="12" s="1"/>
  <c r="K24" i="12"/>
  <c r="R24" i="12" s="1"/>
  <c r="Y24" i="12" s="1"/>
  <c r="K27" i="12"/>
  <c r="R27" i="12" s="1"/>
  <c r="Y27" i="12" s="1"/>
  <c r="K19" i="12"/>
  <c r="R19" i="12" s="1"/>
  <c r="Y19" i="12" s="1"/>
  <c r="K21" i="12"/>
  <c r="R21" i="12" s="1"/>
  <c r="K23" i="12"/>
  <c r="R23" i="12" s="1"/>
  <c r="Y23" i="12" s="1"/>
  <c r="K25" i="12"/>
  <c r="R25" i="12" s="1"/>
  <c r="Q18" i="12"/>
  <c r="N18" i="12"/>
  <c r="U24" i="12"/>
  <c r="AG24" i="12" s="1"/>
  <c r="Z24" i="12"/>
  <c r="AB24" i="12" s="1"/>
  <c r="AC24" i="12" s="1"/>
  <c r="U26" i="12"/>
  <c r="Z26" i="12"/>
  <c r="U19" i="12"/>
  <c r="AG19" i="12" s="1"/>
  <c r="Z19" i="12"/>
  <c r="AB19" i="12" s="1"/>
  <c r="AC19" i="12" s="1"/>
  <c r="N6" i="12"/>
  <c r="Z28" i="12"/>
  <c r="AB17" i="12"/>
  <c r="AC17" i="12" s="1"/>
  <c r="N29" i="12"/>
  <c r="U22" i="12"/>
  <c r="AG22" i="12" s="1"/>
  <c r="Z22" i="12"/>
  <c r="K11" i="12"/>
  <c r="R11" i="12" s="1"/>
  <c r="Y11" i="12" s="1"/>
  <c r="K8" i="12"/>
  <c r="R8" i="12" s="1"/>
  <c r="Y8" i="12" s="1"/>
  <c r="K13" i="12"/>
  <c r="R13" i="12" s="1"/>
  <c r="U13" i="12" s="1"/>
  <c r="K16" i="12"/>
  <c r="R16" i="12" s="1"/>
  <c r="Y16" i="12" s="1"/>
  <c r="K14" i="12"/>
  <c r="R14" i="12" s="1"/>
  <c r="Y14" i="12" s="1"/>
  <c r="K10" i="12"/>
  <c r="R10" i="12" s="1"/>
  <c r="Y10" i="12" s="1"/>
  <c r="K7" i="12"/>
  <c r="R7" i="12" s="1"/>
  <c r="K9" i="12"/>
  <c r="R9" i="12" s="1"/>
  <c r="Y9" i="12" s="1"/>
  <c r="K18" i="12"/>
  <c r="R18" i="12" s="1"/>
  <c r="Y18" i="12" s="1"/>
  <c r="K15" i="12"/>
  <c r="R15" i="12" s="1"/>
  <c r="Y15" i="12" s="1"/>
  <c r="K12" i="12"/>
  <c r="R12" i="12" s="1"/>
  <c r="Y12" i="12" s="1"/>
  <c r="Z18" i="12"/>
  <c r="Z16" i="12"/>
  <c r="AB16" i="12" s="1"/>
  <c r="U16" i="12"/>
  <c r="AG16" i="12" s="1"/>
  <c r="Z15" i="12"/>
  <c r="Z14" i="12"/>
  <c r="Y13" i="12"/>
  <c r="AB13" i="12" s="1"/>
  <c r="AG13" i="12"/>
  <c r="S8" i="12"/>
  <c r="S9" i="12"/>
  <c r="U9" i="12" s="1"/>
  <c r="S12" i="12"/>
  <c r="U12" i="12" s="1"/>
  <c r="S10" i="12"/>
  <c r="S11" i="12"/>
  <c r="U23" i="12" l="1"/>
  <c r="AG23" i="12" s="1"/>
  <c r="AB14" i="12"/>
  <c r="U10" i="12"/>
  <c r="U15" i="12"/>
  <c r="AG15" i="12" s="1"/>
  <c r="R6" i="12"/>
  <c r="R29" i="12" s="1"/>
  <c r="AB23" i="12"/>
  <c r="AC23" i="12" s="1"/>
  <c r="Y25" i="12"/>
  <c r="Y28" i="12"/>
  <c r="U27" i="12"/>
  <c r="AB20" i="12"/>
  <c r="AC20" i="12" s="1"/>
  <c r="AB15" i="12"/>
  <c r="AB18" i="12"/>
  <c r="AC18" i="12" s="1"/>
  <c r="U21" i="12"/>
  <c r="AG21" i="12" s="1"/>
  <c r="Y21" i="12"/>
  <c r="AB21" i="12" s="1"/>
  <c r="AC21" i="12" s="1"/>
  <c r="AB22" i="12"/>
  <c r="AC22" i="12" s="1"/>
  <c r="T29" i="12"/>
  <c r="AA26" i="12"/>
  <c r="AA29" i="12" s="1"/>
  <c r="AB27" i="12"/>
  <c r="AC27" i="12" s="1"/>
  <c r="U20" i="12"/>
  <c r="AG20" i="12" s="1"/>
  <c r="U11" i="12"/>
  <c r="AG11" i="12" s="1"/>
  <c r="U14" i="12"/>
  <c r="AG14" i="12" s="1"/>
  <c r="U18" i="12"/>
  <c r="AG18" i="12" s="1"/>
  <c r="AC15" i="12"/>
  <c r="AC14" i="12"/>
  <c r="Z8" i="12"/>
  <c r="AB8" i="12" s="1"/>
  <c r="U8" i="12"/>
  <c r="AC16" i="12"/>
  <c r="Y7" i="12"/>
  <c r="Z9" i="12"/>
  <c r="AB9" i="12" s="1"/>
  <c r="Z11" i="12"/>
  <c r="AB11" i="12" s="1"/>
  <c r="AG10" i="12"/>
  <c r="Z10" i="12"/>
  <c r="AB10" i="12" s="1"/>
  <c r="AC13" i="12"/>
  <c r="Z12" i="12"/>
  <c r="AB12" i="12" s="1"/>
  <c r="AG12" i="12"/>
  <c r="AG9" i="12"/>
  <c r="AB26" i="12" l="1"/>
  <c r="AC26" i="12" s="1"/>
  <c r="AB28" i="12"/>
  <c r="AC28" i="12" s="1"/>
  <c r="AG8" i="12"/>
  <c r="Y6" i="12"/>
  <c r="Y29" i="12" s="1"/>
  <c r="AC11" i="12"/>
  <c r="AC12" i="12"/>
  <c r="AC8" i="12"/>
  <c r="AC9" i="12"/>
  <c r="AC10" i="12"/>
  <c r="C38" i="11"/>
  <c r="B38" i="11"/>
  <c r="N35" i="11"/>
  <c r="K35" i="11"/>
  <c r="H25" i="11" s="1"/>
  <c r="H24" i="11" s="1"/>
  <c r="J35" i="11"/>
  <c r="I35" i="11"/>
  <c r="M34" i="11"/>
  <c r="M35" i="11" s="1"/>
  <c r="L34" i="11"/>
  <c r="L35" i="11" s="1"/>
  <c r="I29" i="11"/>
  <c r="H29" i="11"/>
  <c r="H28" i="11" s="1"/>
  <c r="G29" i="11"/>
  <c r="B29" i="11"/>
  <c r="J29" i="11" s="1"/>
  <c r="J28" i="11" s="1"/>
  <c r="G28" i="11"/>
  <c r="E28" i="11"/>
  <c r="D28" i="11"/>
  <c r="C28" i="11"/>
  <c r="B28" i="11"/>
  <c r="D37" i="11" s="1"/>
  <c r="J27" i="11"/>
  <c r="J26" i="11" s="1"/>
  <c r="G27" i="11"/>
  <c r="B27" i="11"/>
  <c r="K27" i="11" s="1"/>
  <c r="K26" i="11" s="1"/>
  <c r="G26" i="11"/>
  <c r="E26" i="11"/>
  <c r="D26" i="11"/>
  <c r="C26" i="11"/>
  <c r="B26" i="11"/>
  <c r="D36" i="11" s="1"/>
  <c r="J25" i="11"/>
  <c r="J24" i="11" s="1"/>
  <c r="G25" i="11"/>
  <c r="I25" i="11" s="1"/>
  <c r="B25" i="11"/>
  <c r="M25" i="11" s="1"/>
  <c r="M24" i="11" s="1"/>
  <c r="G24" i="11"/>
  <c r="E24" i="11"/>
  <c r="D24" i="11"/>
  <c r="D10" i="11" s="1"/>
  <c r="C24" i="11"/>
  <c r="B24" i="11"/>
  <c r="D35" i="11" s="1"/>
  <c r="H23" i="11"/>
  <c r="G23" i="11"/>
  <c r="I23" i="11" s="1"/>
  <c r="B23" i="11"/>
  <c r="M23" i="11" s="1"/>
  <c r="H22" i="11"/>
  <c r="I22" i="11" s="1"/>
  <c r="G22" i="11"/>
  <c r="B22" i="11"/>
  <c r="J22" i="11" s="1"/>
  <c r="G21" i="11"/>
  <c r="B21" i="11"/>
  <c r="K21" i="11" s="1"/>
  <c r="J20" i="11"/>
  <c r="G20" i="11"/>
  <c r="B20" i="11"/>
  <c r="M20" i="11" s="1"/>
  <c r="H19" i="11"/>
  <c r="G19" i="11"/>
  <c r="I19" i="11" s="1"/>
  <c r="B19" i="11"/>
  <c r="M19" i="11" s="1"/>
  <c r="H18" i="11"/>
  <c r="I18" i="11" s="1"/>
  <c r="G18" i="11"/>
  <c r="B18" i="11"/>
  <c r="J18" i="11" s="1"/>
  <c r="G17" i="11"/>
  <c r="B17" i="11"/>
  <c r="K17" i="11" s="1"/>
  <c r="J16" i="11"/>
  <c r="G16" i="11"/>
  <c r="B16" i="11"/>
  <c r="M16" i="11" s="1"/>
  <c r="H15" i="11"/>
  <c r="G15" i="11"/>
  <c r="I15" i="11" s="1"/>
  <c r="B15" i="11"/>
  <c r="M15" i="11" s="1"/>
  <c r="H14" i="11"/>
  <c r="G14" i="11"/>
  <c r="B14" i="11"/>
  <c r="J14" i="11" s="1"/>
  <c r="I13" i="11"/>
  <c r="H13" i="11"/>
  <c r="G13" i="11"/>
  <c r="B13" i="11"/>
  <c r="K13" i="11" s="1"/>
  <c r="E12" i="11"/>
  <c r="D12" i="11"/>
  <c r="C12" i="11"/>
  <c r="B12" i="11"/>
  <c r="D34" i="11" s="1"/>
  <c r="D38" i="11" s="1"/>
  <c r="E10" i="11"/>
  <c r="C10" i="11"/>
  <c r="B10" i="11"/>
  <c r="K25" i="11" l="1"/>
  <c r="K24" i="11" s="1"/>
  <c r="K20" i="11"/>
  <c r="K23" i="11"/>
  <c r="K19" i="11"/>
  <c r="K15" i="11"/>
  <c r="K16" i="11"/>
  <c r="I24" i="11"/>
  <c r="L25" i="11"/>
  <c r="L24" i="11" s="1"/>
  <c r="L20" i="11"/>
  <c r="L16" i="11"/>
  <c r="L19" i="11"/>
  <c r="L15" i="11"/>
  <c r="L14" i="11"/>
  <c r="L29" i="11"/>
  <c r="L28" i="11" s="1"/>
  <c r="L22" i="11"/>
  <c r="L18" i="11"/>
  <c r="F18" i="11" s="1"/>
  <c r="L27" i="11"/>
  <c r="L26" i="11" s="1"/>
  <c r="L21" i="11"/>
  <c r="L17" i="11"/>
  <c r="L13" i="11"/>
  <c r="L23" i="11"/>
  <c r="F23" i="11" s="1"/>
  <c r="M17" i="11"/>
  <c r="G12" i="11"/>
  <c r="I14" i="11"/>
  <c r="J21" i="11"/>
  <c r="K14" i="11"/>
  <c r="K12" i="11" s="1"/>
  <c r="K10" i="11" s="1"/>
  <c r="J15" i="11"/>
  <c r="F15" i="11" s="1"/>
  <c r="H17" i="11"/>
  <c r="I17" i="11" s="1"/>
  <c r="K18" i="11"/>
  <c r="J19" i="11"/>
  <c r="F19" i="11" s="1"/>
  <c r="H21" i="11"/>
  <c r="I21" i="11" s="1"/>
  <c r="F21" i="11" s="1"/>
  <c r="K22" i="11"/>
  <c r="F22" i="11" s="1"/>
  <c r="J23" i="11"/>
  <c r="H27" i="11"/>
  <c r="K29" i="11"/>
  <c r="K28" i="11" s="1"/>
  <c r="M13" i="11"/>
  <c r="M21" i="11"/>
  <c r="M27" i="11"/>
  <c r="M26" i="11" s="1"/>
  <c r="I28" i="11"/>
  <c r="J17" i="11"/>
  <c r="M29" i="11"/>
  <c r="M28" i="11" s="1"/>
  <c r="J13" i="11"/>
  <c r="M14" i="11"/>
  <c r="M18" i="11"/>
  <c r="M22" i="11"/>
  <c r="H16" i="11"/>
  <c r="H12" i="11" s="1"/>
  <c r="H20" i="11"/>
  <c r="I20" i="11" s="1"/>
  <c r="F20" i="11" s="1"/>
  <c r="J12" i="11" l="1"/>
  <c r="J10" i="11" s="1"/>
  <c r="H26" i="11"/>
  <c r="H10" i="11" s="1"/>
  <c r="I27" i="11"/>
  <c r="L12" i="11"/>
  <c r="L10" i="11" s="1"/>
  <c r="I16" i="11"/>
  <c r="F16" i="11" s="1"/>
  <c r="F25" i="11"/>
  <c r="F24" i="11" s="1"/>
  <c r="E35" i="11" s="1"/>
  <c r="F35" i="11" s="1"/>
  <c r="F29" i="11"/>
  <c r="F28" i="11" s="1"/>
  <c r="E37" i="11" s="1"/>
  <c r="F37" i="11" s="1"/>
  <c r="M12" i="11"/>
  <c r="M10" i="11" s="1"/>
  <c r="F17" i="11"/>
  <c r="F14" i="11"/>
  <c r="F13" i="11"/>
  <c r="G10" i="11"/>
  <c r="I12" i="11"/>
  <c r="I10" i="11" l="1"/>
  <c r="F12" i="11"/>
  <c r="F27" i="11"/>
  <c r="F26" i="11" s="1"/>
  <c r="E36" i="11" s="1"/>
  <c r="F36" i="11" s="1"/>
  <c r="I26" i="11"/>
  <c r="F10" i="11" l="1"/>
  <c r="E38" i="11" l="1"/>
  <c r="F34" i="11"/>
  <c r="F38" i="11" s="1"/>
  <c r="H4" i="10" l="1"/>
  <c r="O23" i="9" l="1"/>
  <c r="O26" i="9"/>
  <c r="O135" i="9"/>
  <c r="O141" i="9"/>
  <c r="A4" i="10" l="1"/>
  <c r="B4" i="10" s="1"/>
  <c r="D4" i="10" s="1"/>
  <c r="G4" i="10" s="1"/>
  <c r="I4" i="10" s="1"/>
  <c r="C4" i="10"/>
  <c r="E4" i="10"/>
  <c r="O168" i="9"/>
  <c r="O169" i="9" l="1"/>
  <c r="N169" i="9"/>
  <c r="N168" i="9"/>
  <c r="N167" i="9"/>
  <c r="O166" i="9"/>
  <c r="O145" i="9"/>
  <c r="W145" i="9" s="1"/>
  <c r="O146" i="9"/>
  <c r="W146" i="9" s="1"/>
  <c r="O147" i="9"/>
  <c r="W147" i="9" s="1"/>
  <c r="O148" i="9"/>
  <c r="W148" i="9"/>
  <c r="O149" i="9"/>
  <c r="W149" i="9" s="1"/>
  <c r="O150" i="9"/>
  <c r="W150" i="9" s="1"/>
  <c r="O151" i="9"/>
  <c r="W151" i="9" s="1"/>
  <c r="O152" i="9"/>
  <c r="W152" i="9" s="1"/>
  <c r="O153" i="9"/>
  <c r="W153" i="9" s="1"/>
  <c r="O154" i="9"/>
  <c r="W154" i="9" s="1"/>
  <c r="U164" i="9"/>
  <c r="T164" i="9"/>
  <c r="S164" i="9"/>
  <c r="R164" i="9"/>
  <c r="Q164" i="9"/>
  <c r="N164" i="9"/>
  <c r="M164" i="9"/>
  <c r="L164" i="9"/>
  <c r="K164" i="9"/>
  <c r="J164" i="9"/>
  <c r="I164" i="9"/>
  <c r="H164" i="9"/>
  <c r="G164" i="9"/>
  <c r="F164" i="9"/>
  <c r="E164" i="9"/>
  <c r="D164" i="9"/>
  <c r="C164" i="9"/>
  <c r="O163" i="9"/>
  <c r="W163" i="9" s="1"/>
  <c r="W162" i="9"/>
  <c r="O162" i="9"/>
  <c r="O161" i="9"/>
  <c r="W161" i="9" s="1"/>
  <c r="O160" i="9"/>
  <c r="W160" i="9" s="1"/>
  <c r="O159" i="9"/>
  <c r="W159" i="9" s="1"/>
  <c r="O158" i="9"/>
  <c r="W158" i="9" s="1"/>
  <c r="O157" i="9"/>
  <c r="W157" i="9" s="1"/>
  <c r="O156" i="9"/>
  <c r="W156" i="9" s="1"/>
  <c r="O155" i="9"/>
  <c r="W155" i="9" s="1"/>
  <c r="P116" i="9"/>
  <c r="P90" i="9"/>
  <c r="P69" i="9"/>
  <c r="P11" i="9"/>
  <c r="Q11" i="9"/>
  <c r="U140" i="9"/>
  <c r="T140" i="9"/>
  <c r="S140" i="9"/>
  <c r="R140" i="9"/>
  <c r="Q140" i="9"/>
  <c r="N140" i="9"/>
  <c r="M140" i="9"/>
  <c r="L140" i="9"/>
  <c r="K140" i="9"/>
  <c r="J140" i="9"/>
  <c r="I140" i="9"/>
  <c r="H140" i="9"/>
  <c r="G140" i="9"/>
  <c r="F140" i="9"/>
  <c r="E140" i="9"/>
  <c r="D140" i="9"/>
  <c r="C140" i="9"/>
  <c r="O139" i="9"/>
  <c r="W139" i="9" s="1"/>
  <c r="O138" i="9"/>
  <c r="W138" i="9" s="1"/>
  <c r="O137" i="9"/>
  <c r="W137" i="9" s="1"/>
  <c r="O136" i="9"/>
  <c r="W136" i="9" s="1"/>
  <c r="W135" i="9"/>
  <c r="O134" i="9"/>
  <c r="W134" i="9" s="1"/>
  <c r="O133" i="9"/>
  <c r="W133" i="9" s="1"/>
  <c r="O132" i="9"/>
  <c r="W132" i="9" s="1"/>
  <c r="O131" i="9"/>
  <c r="W131" i="9" s="1"/>
  <c r="O130" i="9"/>
  <c r="W130" i="9" s="1"/>
  <c r="O129" i="9"/>
  <c r="W129" i="9" s="1"/>
  <c r="O128" i="9"/>
  <c r="W128" i="9" s="1"/>
  <c r="O127" i="9"/>
  <c r="W127" i="9" s="1"/>
  <c r="O126" i="9"/>
  <c r="W126" i="9" s="1"/>
  <c r="O125" i="9"/>
  <c r="W125" i="9" s="1"/>
  <c r="O124" i="9"/>
  <c r="W124" i="9" s="1"/>
  <c r="O123" i="9"/>
  <c r="W123" i="9" s="1"/>
  <c r="O122" i="9"/>
  <c r="W122" i="9" s="1"/>
  <c r="O121" i="9"/>
  <c r="W121" i="9" s="1"/>
  <c r="U116" i="9"/>
  <c r="T116" i="9"/>
  <c r="S116" i="9"/>
  <c r="R116" i="9"/>
  <c r="Q116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O115" i="9"/>
  <c r="W115" i="9" s="1"/>
  <c r="O114" i="9"/>
  <c r="W114" i="9" s="1"/>
  <c r="O113" i="9"/>
  <c r="W113" i="9" s="1"/>
  <c r="O112" i="9"/>
  <c r="W112" i="9" s="1"/>
  <c r="O111" i="9"/>
  <c r="W111" i="9" s="1"/>
  <c r="O110" i="9"/>
  <c r="W110" i="9" s="1"/>
  <c r="O109" i="9"/>
  <c r="W109" i="9" s="1"/>
  <c r="O108" i="9"/>
  <c r="W108" i="9" s="1"/>
  <c r="O107" i="9"/>
  <c r="W107" i="9" s="1"/>
  <c r="O106" i="9"/>
  <c r="W106" i="9" s="1"/>
  <c r="O105" i="9"/>
  <c r="W105" i="9" s="1"/>
  <c r="O104" i="9"/>
  <c r="W104" i="9" s="1"/>
  <c r="O103" i="9"/>
  <c r="W103" i="9" s="1"/>
  <c r="O102" i="9"/>
  <c r="W102" i="9" s="1"/>
  <c r="O101" i="9"/>
  <c r="W101" i="9" s="1"/>
  <c r="O100" i="9"/>
  <c r="W100" i="9" s="1"/>
  <c r="O99" i="9"/>
  <c r="W99" i="9" s="1"/>
  <c r="O98" i="9"/>
  <c r="W98" i="9" s="1"/>
  <c r="O97" i="9"/>
  <c r="W97" i="9" s="1"/>
  <c r="O96" i="9"/>
  <c r="W96" i="9" s="1"/>
  <c r="O95" i="9"/>
  <c r="W95" i="9" s="1"/>
  <c r="U90" i="9"/>
  <c r="T90" i="9"/>
  <c r="S90" i="9"/>
  <c r="R90" i="9"/>
  <c r="Q90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W89" i="9" s="1"/>
  <c r="Z89" i="9" s="1"/>
  <c r="O88" i="9"/>
  <c r="O87" i="9"/>
  <c r="W87" i="9" s="1"/>
  <c r="Z87" i="9" s="1"/>
  <c r="O86" i="9"/>
  <c r="W86" i="9" s="1"/>
  <c r="O85" i="9"/>
  <c r="W85" i="9" s="1"/>
  <c r="Z85" i="9" s="1"/>
  <c r="O84" i="9"/>
  <c r="O83" i="9"/>
  <c r="W83" i="9" s="1"/>
  <c r="Z83" i="9" s="1"/>
  <c r="O82" i="9"/>
  <c r="W82" i="9" s="1"/>
  <c r="O81" i="9"/>
  <c r="W81" i="9" s="1"/>
  <c r="Z81" i="9" s="1"/>
  <c r="O80" i="9"/>
  <c r="W80" i="9" s="1"/>
  <c r="O79" i="9"/>
  <c r="W79" i="9" s="1"/>
  <c r="Z79" i="9" s="1"/>
  <c r="O78" i="9"/>
  <c r="W78" i="9" s="1"/>
  <c r="O77" i="9"/>
  <c r="W77" i="9" s="1"/>
  <c r="Z77" i="9" s="1"/>
  <c r="O76" i="9"/>
  <c r="O75" i="9"/>
  <c r="W75" i="9" s="1"/>
  <c r="Z75" i="9" s="1"/>
  <c r="O74" i="9"/>
  <c r="W74" i="9" s="1"/>
  <c r="T69" i="9"/>
  <c r="S69" i="9"/>
  <c r="R69" i="9"/>
  <c r="Q69" i="9"/>
  <c r="N69" i="9"/>
  <c r="M69" i="9"/>
  <c r="L69" i="9"/>
  <c r="K69" i="9"/>
  <c r="J69" i="9"/>
  <c r="I69" i="9"/>
  <c r="H69" i="9"/>
  <c r="G69" i="9"/>
  <c r="F69" i="9"/>
  <c r="E69" i="9"/>
  <c r="D69" i="9"/>
  <c r="C69" i="9"/>
  <c r="O68" i="9"/>
  <c r="O67" i="9"/>
  <c r="W67" i="9" s="1"/>
  <c r="Z67" i="9" s="1"/>
  <c r="O66" i="9"/>
  <c r="W66" i="9" s="1"/>
  <c r="O65" i="9"/>
  <c r="W65" i="9" s="1"/>
  <c r="Z65" i="9" s="1"/>
  <c r="O64" i="9"/>
  <c r="O63" i="9"/>
  <c r="W63" i="9" s="1"/>
  <c r="Z63" i="9" s="1"/>
  <c r="O62" i="9"/>
  <c r="O61" i="9"/>
  <c r="W61" i="9" s="1"/>
  <c r="Z61" i="9" s="1"/>
  <c r="O60" i="9"/>
  <c r="W60" i="9" s="1"/>
  <c r="O59" i="9"/>
  <c r="W59" i="9" s="1"/>
  <c r="O58" i="9"/>
  <c r="W58" i="9" s="1"/>
  <c r="O57" i="9"/>
  <c r="W57" i="9" s="1"/>
  <c r="Z57" i="9" s="1"/>
  <c r="O56" i="9"/>
  <c r="W56" i="9" s="1"/>
  <c r="O55" i="9"/>
  <c r="W55" i="9" s="1"/>
  <c r="Z55" i="9" s="1"/>
  <c r="O54" i="9"/>
  <c r="O53" i="9"/>
  <c r="W53" i="9" s="1"/>
  <c r="Z53" i="9" s="1"/>
  <c r="O52" i="9"/>
  <c r="O51" i="9"/>
  <c r="W51" i="9" s="1"/>
  <c r="Z51" i="9" s="1"/>
  <c r="O50" i="9"/>
  <c r="W50" i="9" s="1"/>
  <c r="O49" i="9"/>
  <c r="W49" i="9" s="1"/>
  <c r="Z49" i="9" s="1"/>
  <c r="O48" i="9"/>
  <c r="W48" i="9" s="1"/>
  <c r="T42" i="9"/>
  <c r="S42" i="9"/>
  <c r="R42" i="9"/>
  <c r="Q42" i="9"/>
  <c r="N42" i="9"/>
  <c r="M42" i="9"/>
  <c r="L42" i="9"/>
  <c r="K42" i="9"/>
  <c r="J42" i="9"/>
  <c r="I42" i="9"/>
  <c r="H42" i="9"/>
  <c r="G42" i="9"/>
  <c r="F42" i="9"/>
  <c r="E42" i="9"/>
  <c r="D42" i="9"/>
  <c r="C42" i="9"/>
  <c r="O41" i="9"/>
  <c r="O40" i="9"/>
  <c r="W40" i="9" s="1"/>
  <c r="O39" i="9"/>
  <c r="O38" i="9"/>
  <c r="W38" i="9" s="1"/>
  <c r="Z38" i="9" s="1"/>
  <c r="O37" i="9"/>
  <c r="W37" i="9" s="1"/>
  <c r="O36" i="9"/>
  <c r="W36" i="9" s="1"/>
  <c r="Z36" i="9" s="1"/>
  <c r="O35" i="9"/>
  <c r="W35" i="9" s="1"/>
  <c r="O34" i="9"/>
  <c r="W34" i="9" s="1"/>
  <c r="Z34" i="9" s="1"/>
  <c r="O33" i="9"/>
  <c r="W33" i="9" s="1"/>
  <c r="O32" i="9"/>
  <c r="W32" i="9" s="1"/>
  <c r="Z32" i="9" s="1"/>
  <c r="O31" i="9"/>
  <c r="W31" i="9" s="1"/>
  <c r="V26" i="9"/>
  <c r="U26" i="9"/>
  <c r="T26" i="9"/>
  <c r="S26" i="9"/>
  <c r="R26" i="9"/>
  <c r="Q26" i="9"/>
  <c r="N26" i="9"/>
  <c r="M26" i="9"/>
  <c r="L26" i="9"/>
  <c r="K26" i="9"/>
  <c r="J26" i="9"/>
  <c r="I26" i="9"/>
  <c r="H26" i="9"/>
  <c r="G26" i="9"/>
  <c r="F26" i="9"/>
  <c r="E26" i="9"/>
  <c r="D26" i="9"/>
  <c r="C26" i="9"/>
  <c r="O25" i="9"/>
  <c r="W25" i="9" s="1"/>
  <c r="Z25" i="9" s="1"/>
  <c r="O24" i="9"/>
  <c r="W24" i="9" s="1"/>
  <c r="Z24" i="9" s="1"/>
  <c r="W23" i="9"/>
  <c r="Z23" i="9" s="1"/>
  <c r="O22" i="9"/>
  <c r="W22" i="9" s="1"/>
  <c r="Z22" i="9" s="1"/>
  <c r="O21" i="9"/>
  <c r="W21" i="9" s="1"/>
  <c r="Z21" i="9" s="1"/>
  <c r="W20" i="9"/>
  <c r="Z20" i="9" s="1"/>
  <c r="O20" i="9"/>
  <c r="O19" i="9"/>
  <c r="W19" i="9" s="1"/>
  <c r="Z19" i="9" s="1"/>
  <c r="O18" i="9"/>
  <c r="W18" i="9" s="1"/>
  <c r="Z18" i="9" s="1"/>
  <c r="O17" i="9"/>
  <c r="W17" i="9" s="1"/>
  <c r="Z17" i="9" s="1"/>
  <c r="O16" i="9"/>
  <c r="W16" i="9" s="1"/>
  <c r="Z16" i="9" s="1"/>
  <c r="O15" i="9"/>
  <c r="W15" i="9" s="1"/>
  <c r="V11" i="9"/>
  <c r="U11" i="9"/>
  <c r="T11" i="9"/>
  <c r="S11" i="9"/>
  <c r="N11" i="9"/>
  <c r="M11" i="9"/>
  <c r="L11" i="9"/>
  <c r="K11" i="9"/>
  <c r="J11" i="9"/>
  <c r="I11" i="9"/>
  <c r="H11" i="9"/>
  <c r="G11" i="9"/>
  <c r="F11" i="9"/>
  <c r="E11" i="9"/>
  <c r="D11" i="9"/>
  <c r="C11" i="9"/>
  <c r="O10" i="9"/>
  <c r="W10" i="9" s="1"/>
  <c r="O9" i="9"/>
  <c r="W9" i="9" s="1"/>
  <c r="O8" i="9"/>
  <c r="W8" i="9" s="1"/>
  <c r="W7" i="9"/>
  <c r="O7" i="9"/>
  <c r="R6" i="9"/>
  <c r="R11" i="9" s="1"/>
  <c r="O6" i="9"/>
  <c r="O5" i="9"/>
  <c r="W5" i="9" s="1"/>
  <c r="O4" i="9"/>
  <c r="W4" i="9" s="1"/>
  <c r="Z4" i="9" s="1"/>
  <c r="O3" i="9"/>
  <c r="W3" i="9" s="1"/>
  <c r="O164" i="9" l="1"/>
  <c r="W164" i="9"/>
  <c r="O11" i="9"/>
  <c r="W76" i="9"/>
  <c r="Z76" i="9" s="1"/>
  <c r="W116" i="9"/>
  <c r="W6" i="9"/>
  <c r="W11" i="9" s="1"/>
  <c r="O116" i="9"/>
  <c r="O140" i="9"/>
  <c r="W41" i="9"/>
  <c r="Z41" i="9" s="1"/>
  <c r="W68" i="9"/>
  <c r="Z68" i="9" s="1"/>
  <c r="W64" i="9"/>
  <c r="Z64" i="9" s="1"/>
  <c r="W54" i="9"/>
  <c r="Z54" i="9" s="1"/>
  <c r="Z60" i="9"/>
  <c r="Z80" i="9"/>
  <c r="W62" i="9"/>
  <c r="Z62" i="9" s="1"/>
  <c r="W88" i="9"/>
  <c r="Z88" i="9" s="1"/>
  <c r="W84" i="9"/>
  <c r="Z84" i="9" s="1"/>
  <c r="Z82" i="9"/>
  <c r="O90" i="9"/>
  <c r="Z78" i="9"/>
  <c r="Z86" i="9"/>
  <c r="Z59" i="9"/>
  <c r="Z56" i="9"/>
  <c r="W52" i="9"/>
  <c r="Z50" i="9"/>
  <c r="Z58" i="9"/>
  <c r="Z66" i="9"/>
  <c r="Z39" i="9"/>
  <c r="W39" i="9"/>
  <c r="Z37" i="9"/>
  <c r="Z33" i="9"/>
  <c r="O42" i="9"/>
  <c r="Z35" i="9"/>
  <c r="Z48" i="9"/>
  <c r="W140" i="9"/>
  <c r="O69" i="9"/>
  <c r="Z31" i="9"/>
  <c r="W26" i="9" l="1"/>
  <c r="Z26" i="9" s="1"/>
  <c r="W42" i="9"/>
  <c r="Z42" i="9" s="1"/>
  <c r="Z52" i="9"/>
  <c r="W69" i="9"/>
  <c r="O117" i="9"/>
  <c r="W90" i="9"/>
  <c r="Z90" i="9" s="1"/>
  <c r="Z74" i="9"/>
  <c r="Z69" i="9" l="1"/>
  <c r="D6" i="12" l="1"/>
  <c r="F7" i="12"/>
  <c r="AF7" i="12" s="1"/>
  <c r="AF6" i="12" s="1"/>
  <c r="S7" i="12" l="1"/>
  <c r="S6" i="12" s="1"/>
  <c r="S29" i="12" s="1"/>
  <c r="D25" i="12"/>
  <c r="D29" i="12"/>
  <c r="F6" i="12"/>
  <c r="U7" i="12"/>
  <c r="U6" i="12" s="1"/>
  <c r="U29" i="12" s="1"/>
  <c r="O7" i="12"/>
  <c r="O6" i="12" s="1"/>
  <c r="O29" i="12" s="1"/>
  <c r="F25" i="12" l="1"/>
  <c r="F29" i="12"/>
  <c r="Z7" i="12"/>
  <c r="AB7" i="12" s="1"/>
  <c r="AG7" i="12"/>
  <c r="Q7" i="12"/>
  <c r="Q6" i="12" s="1"/>
  <c r="Q29" i="12" s="1"/>
  <c r="Z6" i="12" l="1"/>
  <c r="Z29" i="12" s="1"/>
  <c r="O25" i="12"/>
  <c r="Q25" i="12" s="1"/>
  <c r="S25" i="12"/>
  <c r="AG6" i="12"/>
  <c r="AC7" i="12"/>
  <c r="AC6" i="12" s="1"/>
  <c r="AB6" i="12"/>
  <c r="AB29" i="12" s="1"/>
  <c r="AC29" i="12" l="1"/>
  <c r="Z25" i="12"/>
  <c r="AB25" i="12" s="1"/>
  <c r="AC25" i="12" s="1"/>
  <c r="U25" i="12"/>
  <c r="AG25" i="12" s="1"/>
</calcChain>
</file>

<file path=xl/comments1.xml><?xml version="1.0" encoding="utf-8"?>
<comments xmlns="http://schemas.openxmlformats.org/spreadsheetml/2006/main">
  <authors>
    <author>Автор</author>
  </authors>
  <commentList>
    <comment ref="L34" author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1,4 - рай коэф
1,5 - размер соц стипендии
3 - трехкратный размер
ППРТ от 12.09.2006 №1088 (1,8,14,36)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L34" author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1,4 - рай коэф
1,5 - размер соц стипендии
3 - трехкратный размер
ППРТ от 12.09.2006 №1088 (1,8,14,36)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ККИ</t>
        </r>
      </text>
    </comment>
    <comment ref="G35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для высшего образования независимо от места расположения</t>
        </r>
      </text>
    </comment>
    <comment ref="G36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для профессиональных образовательных организаций независимо от места расположения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учетом районного коэф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менее полуторократного размера от академической</t>
        </r>
      </text>
    </comment>
    <comment ref="C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 коэф 1,5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22 дня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9 месяцев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ППРТ от 17.05.2021 №233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 день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 месяцев</t>
        </r>
      </text>
    </comment>
    <comment ref="P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 день</t>
        </r>
      </text>
    </comment>
    <comment ref="Q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 месяцев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платят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платят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платят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новый д/с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новый д/с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O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замена котла, ремонт кровли, усиление фундамента</t>
        </r>
      </text>
    </comment>
    <comment ref="Y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дезинфекция</t>
        </r>
      </text>
    </comment>
  </commentList>
</comments>
</file>

<file path=xl/sharedStrings.xml><?xml version="1.0" encoding="utf-8"?>
<sst xmlns="http://schemas.openxmlformats.org/spreadsheetml/2006/main" count="1193" uniqueCount="499">
  <si>
    <t>Салчак А-Х.В.</t>
  </si>
  <si>
    <t>Сарыглар Ч.В.</t>
  </si>
  <si>
    <t>Донгак С.В.</t>
  </si>
  <si>
    <t>Ооржак Д.Б.</t>
  </si>
  <si>
    <t>Умбаа Ч.О.</t>
  </si>
  <si>
    <t>Ондар Б.А.</t>
  </si>
  <si>
    <t>Хемер-оол Д.Ю.</t>
  </si>
  <si>
    <t>Донгак Т.Д.</t>
  </si>
  <si>
    <t>Салчак Ч.М.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</si>
  <si>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</si>
  <si>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</si>
  <si>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</si>
  <si>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</si>
  <si>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</si>
  <si>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</si>
  <si>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</si>
  <si>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ФИО</t>
  </si>
  <si>
    <t>№ п/п</t>
  </si>
  <si>
    <t>ИТОГО:</t>
  </si>
  <si>
    <t>Ондар Т.П.</t>
  </si>
  <si>
    <t>Ондар С.М.</t>
  </si>
  <si>
    <t>Сарангова В.В.</t>
  </si>
  <si>
    <t>Шойдан Т.О.</t>
  </si>
  <si>
    <t>Куулар А.О.</t>
  </si>
  <si>
    <t>август</t>
  </si>
  <si>
    <t>сентябрь</t>
  </si>
  <si>
    <t>октябрь</t>
  </si>
  <si>
    <t>ноябрь</t>
  </si>
  <si>
    <t>декабрь</t>
  </si>
  <si>
    <t>Монгуш А.Т.</t>
  </si>
  <si>
    <t>Список получателей  субсидий на компенсацию части затрат по ипотечным кредитам (займам) на приобретение (строительство) жилья в РТ на 2014 г.</t>
  </si>
  <si>
    <t>Список претендентов на предоставление субсидий на компенсацию части затрат по ипотечным кредитам (займам) на приобретение (строительство) жилья в РТ на 2015 г.</t>
  </si>
  <si>
    <t>Монгуш М.Г.</t>
  </si>
  <si>
    <t>Монгуш С.С.</t>
  </si>
  <si>
    <t>Иргит А.А.</t>
  </si>
  <si>
    <t>Ооржак Е.В.</t>
  </si>
  <si>
    <t>Монгуш Ш.Т.</t>
  </si>
  <si>
    <t>Кужугет Д.Б-П</t>
  </si>
  <si>
    <t>Саая А.О.</t>
  </si>
  <si>
    <t>Тулуш Б.Б-Д</t>
  </si>
  <si>
    <t>Стал-оол А.А.</t>
  </si>
  <si>
    <t>Хертек Ш.Н.</t>
  </si>
  <si>
    <t>Ховалыг П.А.</t>
  </si>
  <si>
    <t>ВСЕГО выплат по годам</t>
  </si>
  <si>
    <t>Список получателей  субсидий на компенсацию части затрат по ипотечным кредитам (займам) на приобретение (строительство) жилья в РТ на 2016 г.</t>
  </si>
  <si>
    <t>Список получателей  субсидий на компенсацию части затрат по ипотечным кредитам (займам) на приобретение (строительство) жилья в РТ на 2017 г.</t>
  </si>
  <si>
    <t>Уволилась с работы.</t>
  </si>
  <si>
    <t>Уволился с работы</t>
  </si>
  <si>
    <t>Список получателей  субсидий на компенсацию части затрат по ипотечным кредитам (займам) на приобретение (строительство) жилья в РТ на 2018 г.</t>
  </si>
  <si>
    <r>
      <t>Дулуш Т.Э.(</t>
    </r>
    <r>
      <rPr>
        <sz val="9"/>
        <color rgb="FFFF0000"/>
        <rFont val="Times New Roman"/>
        <family val="1"/>
        <charset val="204"/>
      </rPr>
      <t>Ховен-оол</t>
    </r>
    <r>
      <rPr>
        <sz val="9"/>
        <color theme="1"/>
        <rFont val="Times New Roman"/>
        <family val="1"/>
        <charset val="204"/>
      </rPr>
      <t>)</t>
    </r>
  </si>
  <si>
    <r>
      <t>Куулар Б.А.(</t>
    </r>
    <r>
      <rPr>
        <sz val="9"/>
        <color rgb="FFFF0000"/>
        <rFont val="Times New Roman"/>
        <family val="1"/>
        <charset val="204"/>
      </rPr>
      <t>Монгуш)</t>
    </r>
  </si>
  <si>
    <r>
      <t>Хомушку С.</t>
    </r>
    <r>
      <rPr>
        <sz val="9"/>
        <color rgb="FFFF0000"/>
        <rFont val="Times New Roman"/>
        <family val="1"/>
        <charset val="204"/>
      </rPr>
      <t>В</t>
    </r>
    <r>
      <rPr>
        <sz val="9"/>
        <color theme="1"/>
        <rFont val="Times New Roman"/>
        <family val="1"/>
        <charset val="204"/>
      </rPr>
      <t>.</t>
    </r>
  </si>
  <si>
    <r>
      <t>Кара-Донгак А.А.</t>
    </r>
    <r>
      <rPr>
        <sz val="9"/>
        <color rgb="FFFF0000"/>
        <rFont val="Times New Roman"/>
        <family val="1"/>
        <charset val="204"/>
      </rPr>
      <t>(Сарыглар)</t>
    </r>
  </si>
  <si>
    <t>на 2020 год</t>
  </si>
  <si>
    <t>Список получателей  субсидий на компенсацию части затрат по ипотечным кредитам (займам) на приобретение (строительство) жилья в РТ на 2019 г.</t>
  </si>
  <si>
    <t>Список получателей  субсидий на компенсацию части затрат по ипотечным кредитам (займам) на приобретение (строительство) жилья в РТ на 2020 г.</t>
  </si>
  <si>
    <t>Средняя сумма субсидии на 1 человека за 2020 год составляет  6283,08 рублей = 18 849,24 руб./3 чел.</t>
  </si>
  <si>
    <t>Дополнительная потребность на 2021 год для выплаты субсидий 25 получателям составит 1 884 924 рублей = 25 чел.* 6283,08 руб.*12 мес.</t>
  </si>
  <si>
    <r>
      <t>Таким образом, общий лимит финансирования субсидий на 2021 год составит</t>
    </r>
    <r>
      <rPr>
        <b/>
        <u/>
        <sz val="10"/>
        <color theme="1"/>
        <rFont val="Times New Roman"/>
        <family val="1"/>
        <charset val="204"/>
      </rPr>
      <t xml:space="preserve"> 6 036 807,68 рублей </t>
    </r>
    <r>
      <rPr>
        <b/>
        <sz val="10"/>
        <color theme="1"/>
        <rFont val="Times New Roman"/>
        <family val="1"/>
        <charset val="204"/>
      </rPr>
      <t>=  1 884 924 руб.+ 4 151 883,68 руб.</t>
    </r>
  </si>
  <si>
    <t>Список получателей  субсидий на компенсацию части затрат по ипотечным кредитам (займам) на приобретение (строительство) жилья в РТ на 2021 г.</t>
  </si>
  <si>
    <t>Дополнительная потребность на 2022 год для выплаты субсидий 25 получателям составит 1 850 142 рублей = 25 чел.* 6167,14 руб.*12 мес.</t>
  </si>
  <si>
    <r>
      <t>Таким образом, общий лимит финансирования субсидий на 2022 год составит</t>
    </r>
    <r>
      <rPr>
        <b/>
        <u/>
        <sz val="10"/>
        <color theme="1"/>
        <rFont val="Times New Roman"/>
        <family val="1"/>
        <charset val="204"/>
      </rPr>
      <t xml:space="preserve"> 7 410 055,28 рублей </t>
    </r>
    <r>
      <rPr>
        <b/>
        <sz val="10"/>
        <color theme="1"/>
        <rFont val="Times New Roman"/>
        <family val="1"/>
        <charset val="204"/>
      </rPr>
      <t>=  1 850 142 руб.+ 5 559 913,28 руб.</t>
    </r>
  </si>
  <si>
    <t>Средняя сумма субсидии на 1 человека за 2021 год составляет  6167,14 рублей = 74005,7 руб./12 мес.</t>
  </si>
  <si>
    <t>Дополнительная потребность на 2022 год для выплаты субсидий 25 получателям составит 1 850 142 рублей = 20 чел.* 6167,14 руб.*12 мес.</t>
  </si>
  <si>
    <t>Средняя сумма субсидии в месяц на 1 человека</t>
  </si>
  <si>
    <t>Среднее количество получателей субсидии с 2014 по 2021 годы</t>
  </si>
  <si>
    <t>Средняя годовая потребность в год</t>
  </si>
  <si>
    <t xml:space="preserve">Годовая потребность </t>
  </si>
  <si>
    <t>Сумма субсидирования,предоставляемая выпускнику с 2014 по 2021 года</t>
  </si>
  <si>
    <t>Проект 2022 года</t>
  </si>
  <si>
    <t>тыс. рублей</t>
  </si>
  <si>
    <t>Расчет потребности субсидии на компенсацию части затрат по ипотечным кредитам на приобретение (строительство) жилья лицам, окончившим с отличием</t>
  </si>
  <si>
    <t>Темп роста, %</t>
  </si>
  <si>
    <t xml:space="preserve">План 2021 года  </t>
  </si>
  <si>
    <t xml:space="preserve">Отклонение </t>
  </si>
  <si>
    <t xml:space="preserve">Расчет  на выплату пособий детей-сирот, обучающихся в НПО и СПО 2022 г. </t>
  </si>
  <si>
    <t>Наименование министерств и ведомств</t>
  </si>
  <si>
    <t>Всего численность детей-сирот и детей, оставшихся без попечения родителей получающих соц.поддержку</t>
  </si>
  <si>
    <t xml:space="preserve">в том числе </t>
  </si>
  <si>
    <t>Количество выпускников, чел.</t>
  </si>
  <si>
    <t>Расходы на содержание детей-сирот (с учетом индексации на 4,0%)</t>
  </si>
  <si>
    <t>в том числе</t>
  </si>
  <si>
    <t>Обеспечение одеждой, обувью, мягким инвентарем и оборудованием</t>
  </si>
  <si>
    <t>Питание</t>
  </si>
  <si>
    <t>Приобретение литературы</t>
  </si>
  <si>
    <t>Выплаты выпускникам</t>
  </si>
  <si>
    <t>Проезд</t>
  </si>
  <si>
    <t>1 год обучения</t>
  </si>
  <si>
    <t>2 и последующие годы</t>
  </si>
  <si>
    <t>1 курс</t>
  </si>
  <si>
    <t>Всего</t>
  </si>
  <si>
    <t>5 = 6+8</t>
  </si>
  <si>
    <t>10 = 4957,8 руб (4686р*1,058)* гр.6</t>
  </si>
  <si>
    <t>11 =35145*1,032=36269,3руб.*гр.8</t>
  </si>
  <si>
    <t>ВСЕГО</t>
  </si>
  <si>
    <t>Минобр РТ</t>
  </si>
  <si>
    <t>ГБПОУ РТ "Тувинский техникум предпринимательства"</t>
  </si>
  <si>
    <t>Тувинский агропромышленный техникум с.Балгазын</t>
  </si>
  <si>
    <t>ГБПОУ РТ "Тувинский строительный техникум"</t>
  </si>
  <si>
    <t>ГБПОУ РТ Ак-Довуракский горный техникум</t>
  </si>
  <si>
    <t>ГБПОУ РТ "Кызылский транспортный техникум"</t>
  </si>
  <si>
    <t>ГБПОУ РТ "Тувинский сельскохозяйственныйй техникум"</t>
  </si>
  <si>
    <t>ГБПОУ РТ Тув. политехнический техникум</t>
  </si>
  <si>
    <t>ГБПОУ РТ "Тувинский техникум агротехнологий"</t>
  </si>
  <si>
    <t>ГБПОУ РТ "Тувинский технологический техникум"</t>
  </si>
  <si>
    <t>ГБПОУ Тувинский горнотехнический техникум с.Тоора-Хем РТ</t>
  </si>
  <si>
    <t>ГБПОУ Тувинский техникум народных промыслов с.Тээли</t>
  </si>
  <si>
    <t>Минздрав РТ</t>
  </si>
  <si>
    <t>Республиканский медицинский колледж</t>
  </si>
  <si>
    <t>Минкультуры РТ</t>
  </si>
  <si>
    <t>ГБОУ СПО Кызылский колледж искусств им.А.Б. Чыргал-оола</t>
  </si>
  <si>
    <t>Минспорт РТ</t>
  </si>
  <si>
    <t>Училище олимп.резерва</t>
  </si>
  <si>
    <t>Кол-во получателей при планировании</t>
  </si>
  <si>
    <t>2021 год</t>
  </si>
  <si>
    <t>Кол-во получателей</t>
  </si>
  <si>
    <t>проект 2022</t>
  </si>
  <si>
    <t>Отклонения</t>
  </si>
  <si>
    <t>Размеры выплат</t>
  </si>
  <si>
    <t>питание</t>
  </si>
  <si>
    <t>на приобретение одежды, мягкого инвентаря и оборудования (1 курс)</t>
  </si>
  <si>
    <t>на приобретение одежды, мягкого инвентаря и оборудования (2 и последующий курс)</t>
  </si>
  <si>
    <t>На приобретение литературы
(тройная стипендия)</t>
  </si>
  <si>
    <t>Единовременная выплата выпускникам (2 выплаты)</t>
  </si>
  <si>
    <t>Проезд в месяц</t>
  </si>
  <si>
    <t>Минобразования РТ</t>
  </si>
  <si>
    <t>рублей</t>
  </si>
  <si>
    <t>с индексацией</t>
  </si>
  <si>
    <t>Итого</t>
  </si>
  <si>
    <t>НПА: Постановление Правительства Республики Тыва от 18.09.2020 №453 (ред. от 26.02.2021) "Об утверждении норм и Порядка материального обеспечения детей-сирот и детей, оставшихся без попечения родителей, лиц из числа детей-сирот и детей, оставшихся без попечения родителей, обучающихся и (или) воспитывающихся за счет средств республиканского бюджета Республики Тыва в организациях, расположенных на территории Республики Тыва"</t>
  </si>
  <si>
    <t>социальная (М-Т, Тоджи, Тере-Х)</t>
  </si>
  <si>
    <t>академическая (М-Т, Тоджи, Тере-Х)</t>
  </si>
  <si>
    <t>социальная (кроме М-Т, Тоджи, Тере-Х)</t>
  </si>
  <si>
    <t>ППРТ от 12.09.2006 (в ред. 2020 года)</t>
  </si>
  <si>
    <t>Стипендия</t>
  </si>
  <si>
    <t>Всего:</t>
  </si>
  <si>
    <t>Медколледж</t>
  </si>
  <si>
    <t>Министерство здравоохранения</t>
  </si>
  <si>
    <t>Кызылский колледж искусств им. А.Б. Чыргал-оола</t>
  </si>
  <si>
    <t>Министерство культуры РТ</t>
  </si>
  <si>
    <t>Училище олимпийского резерва</t>
  </si>
  <si>
    <t>Министерство спорта РТ</t>
  </si>
  <si>
    <t>ГБПОУ  с. Тээли   РТ № 13</t>
  </si>
  <si>
    <t>ГБПОУ  с. Тоора-Хем  РТ №12</t>
  </si>
  <si>
    <t>ГБОУ СПО РТ "Тувинский политехнический техникум"</t>
  </si>
  <si>
    <t>ГБОУ СПО РТ "Тувинский технологический техникум" г.Чадан</t>
  </si>
  <si>
    <t>ГБОУ СПО РТ "Тувинский агропромышленный техникум" с.Балгазын</t>
  </si>
  <si>
    <t>ГБОУ СПО РТ "Тувинский техникум ЖКХ и сервиса" г.Шагонар</t>
  </si>
  <si>
    <t>7.</t>
  </si>
  <si>
    <t>ГБОУ СПО РТ "Тувинский техникум предпринимательства" г.Кызыл</t>
  </si>
  <si>
    <t>ГБОУ СПО РТ "Ак-Довуракский горный техникум"</t>
  </si>
  <si>
    <t>ГБОУ СПО РТ "Тувинский техникум агротехнологий" с. Сарыг-Сеп</t>
  </si>
  <si>
    <t>ГБОУ СПО РТ "Тувинский строительный техникум" г.Кызыл</t>
  </si>
  <si>
    <t>ГБОУ СПО РТ Тувинский сельскохозяйственный техникум" г.Кызыл</t>
  </si>
  <si>
    <t>ГБОУ СПО РТ "Кызылский транспортный техникум" г.Кызыл</t>
  </si>
  <si>
    <t>Х</t>
  </si>
  <si>
    <t>обычных детей</t>
  </si>
  <si>
    <t xml:space="preserve">детей- сирот </t>
  </si>
  <si>
    <t>академическая стипендия</t>
  </si>
  <si>
    <t>социальная стипендия</t>
  </si>
  <si>
    <t>в том числе:</t>
  </si>
  <si>
    <t>Всего ,  тыс.рублей</t>
  </si>
  <si>
    <t>академической стипендия</t>
  </si>
  <si>
    <t>социальной стипендия</t>
  </si>
  <si>
    <t xml:space="preserve">Академической  </t>
  </si>
  <si>
    <t xml:space="preserve">Социальной </t>
  </si>
  <si>
    <t>в том числе получателей, человек</t>
  </si>
  <si>
    <t>Стипендиатов</t>
  </si>
  <si>
    <t>План 2021 года</t>
  </si>
  <si>
    <t>Наименование учреждений</t>
  </si>
  <si>
    <t>в тыс. рублей</t>
  </si>
  <si>
    <t>Потребность на выплату стипендии студентам СПО на 2022 год по Республике Тыва</t>
  </si>
  <si>
    <t>Потребность на обеспечение двух-разовым питанием детей с ОВЗ на 2022 год</t>
  </si>
  <si>
    <t>Муниципальные учреждения</t>
  </si>
  <si>
    <t>2021-2022 учебный год</t>
  </si>
  <si>
    <r>
      <t xml:space="preserve">стоимость в день на 1 ребенка </t>
    </r>
    <r>
      <rPr>
        <sz val="11"/>
        <color indexed="8"/>
        <rFont val="Times New Roman"/>
        <family val="1"/>
        <charset val="204"/>
      </rPr>
      <t>(руб.)</t>
    </r>
  </si>
  <si>
    <t>стоимость в месяц на 1 ребенка  (руб.)</t>
  </si>
  <si>
    <t>стоимость в год на 1 ребенка  (руб.)</t>
  </si>
  <si>
    <t xml:space="preserve"> 1-4 классы</t>
  </si>
  <si>
    <t>1-11 классы в т.ч. на дому</t>
  </si>
  <si>
    <t>2022 год</t>
  </si>
  <si>
    <t>Дети с ОВЗ</t>
  </si>
  <si>
    <t>1-4 классы</t>
  </si>
  <si>
    <t>5-11 классы</t>
  </si>
  <si>
    <t>стоимость  в день на 1 ребенка 104-64,56=39,44 (руб.)</t>
  </si>
  <si>
    <t>всего</t>
  </si>
  <si>
    <t>приходящие</t>
  </si>
  <si>
    <t>на дому</t>
  </si>
  <si>
    <t>Бай-Тайгинский кожуун</t>
  </si>
  <si>
    <t>Барун-Хемчикский кожуун</t>
  </si>
  <si>
    <t>Дзун-Хемчикский кожуун</t>
  </si>
  <si>
    <t>Каа-Хемский кожуун</t>
  </si>
  <si>
    <t>Кызылский кожуун</t>
  </si>
  <si>
    <t>Монгун-Тайгинский кожуун</t>
  </si>
  <si>
    <t>Овюрский кожуун</t>
  </si>
  <si>
    <t>Пий-Хемский кожуун</t>
  </si>
  <si>
    <t>Сут-Хольский кожуун</t>
  </si>
  <si>
    <t>Тандинский кожуун</t>
  </si>
  <si>
    <t>Тес-Хемский кожуун</t>
  </si>
  <si>
    <t>Тоджинский кожуун</t>
  </si>
  <si>
    <t>Улуг-Хемский кожуун</t>
  </si>
  <si>
    <t>Эрзинский кожуун</t>
  </si>
  <si>
    <t>Чаа-Хольский кожуун</t>
  </si>
  <si>
    <t>Чеди-Хольский кожуун</t>
  </si>
  <si>
    <t>Тере-Хольский кожуун</t>
  </si>
  <si>
    <t>г.Кызыл</t>
  </si>
  <si>
    <t>г.Ак-Довурак</t>
  </si>
  <si>
    <r>
      <t xml:space="preserve">Расчет потребности  по оплате компенсации по коммунальным услугам для сельских специалистов </t>
    </r>
    <r>
      <rPr>
        <b/>
        <u/>
        <sz val="10"/>
        <color theme="1"/>
        <rFont val="Times New Roman"/>
        <family val="1"/>
        <charset val="204"/>
      </rPr>
      <t>образования</t>
    </r>
    <r>
      <rPr>
        <b/>
        <sz val="10"/>
        <color theme="1"/>
        <rFont val="Times New Roman"/>
        <family val="1"/>
        <charset val="204"/>
      </rPr>
      <t xml:space="preserve"> на 2022 год </t>
    </r>
  </si>
  <si>
    <t>№</t>
  </si>
  <si>
    <t>Муниципальное образование</t>
  </si>
  <si>
    <r>
      <t xml:space="preserve">Расчет по </t>
    </r>
    <r>
      <rPr>
        <b/>
        <u/>
        <sz val="10"/>
        <color theme="1"/>
        <rFont val="Times New Roman"/>
        <family val="1"/>
        <charset val="204"/>
      </rPr>
      <t>углю</t>
    </r>
    <r>
      <rPr>
        <b/>
        <sz val="10"/>
        <color theme="1"/>
        <rFont val="Times New Roman"/>
        <family val="1"/>
        <charset val="204"/>
      </rPr>
      <t xml:space="preserve"> (ПП РТ от 05.06.2014г. № 258)</t>
    </r>
  </si>
  <si>
    <t>Расчет по дровам  (ПП РТ от 05.06.2014г. № 258)</t>
  </si>
  <si>
    <t>Электроэнергия (ПП РТ от 01.08.2017г. № 347)</t>
  </si>
  <si>
    <t>Всего получателей, чел</t>
  </si>
  <si>
    <t>Всего потребность в компенсации  в год, тыс.руб.</t>
  </si>
  <si>
    <t>В проект бюджета на 2022 г.
(50% от потребности)</t>
  </si>
  <si>
    <t>Компенсация на 1 человека в месяц, рублей</t>
  </si>
  <si>
    <t>Количество получателей, чел.</t>
  </si>
  <si>
    <t>Учителя ДОУ</t>
  </si>
  <si>
    <t>Учителя ОУ</t>
  </si>
  <si>
    <t>Учителя УДО, ДШИ, проч.учр-я</t>
  </si>
  <si>
    <t>Норматив потребления твердого топлива, тн.</t>
  </si>
  <si>
    <t>Стоимость 1 тн. угля, руб.</t>
  </si>
  <si>
    <t>Компенсация по углю на 1 чел. в год, руб.</t>
  </si>
  <si>
    <t>Всего потребность на компенсацию по углю в год, тыс.руб.</t>
  </si>
  <si>
    <t>Нормативы потребления дров, тн.</t>
  </si>
  <si>
    <t>Стоимость 1 куб.м. дров, руб.</t>
  </si>
  <si>
    <t>Компенсация по дровам на 1 чел. в год, руб.</t>
  </si>
  <si>
    <t>Всего потребность в компенсации по дровам в год, тыс.руб.</t>
  </si>
  <si>
    <t>Норматив на 1 чел. в месяц , кВт</t>
  </si>
  <si>
    <t>стоимость 1 кВт.ч 1 полугодие</t>
  </si>
  <si>
    <t>стоимость 1 кВт.ч 2 полугодие (7%)</t>
  </si>
  <si>
    <t>Стоимость 1 кВт.ч</t>
  </si>
  <si>
    <t>Стоимость 1 кВт.ч с индексацией с 1 июля 2021</t>
  </si>
  <si>
    <t>Компенсация по э/э на 1 чел. в год, руб.</t>
  </si>
  <si>
    <t>Всего потребность электроэнергии, тыс. рублей</t>
  </si>
  <si>
    <t>Бай-Тайгинский</t>
  </si>
  <si>
    <t>Барун-Хемчик</t>
  </si>
  <si>
    <t>Дзун-Хемчик</t>
  </si>
  <si>
    <t>Каа-Хемский</t>
  </si>
  <si>
    <t>Кызылский</t>
  </si>
  <si>
    <t>Монгун-Тайгинский</t>
  </si>
  <si>
    <t>Овюрский</t>
  </si>
  <si>
    <t>Пии-Хемский</t>
  </si>
  <si>
    <t>Сут-Хольский</t>
  </si>
  <si>
    <t>Тандынский</t>
  </si>
  <si>
    <t>Тес-Хемский</t>
  </si>
  <si>
    <t>Тоджинский</t>
  </si>
  <si>
    <t>ч</t>
  </si>
  <si>
    <t>Улуг-Хемский</t>
  </si>
  <si>
    <t>Чаа-Хольский</t>
  </si>
  <si>
    <t>Чеди-Хольский</t>
  </si>
  <si>
    <t>Эрзинский</t>
  </si>
  <si>
    <t>Тере-Хольский</t>
  </si>
  <si>
    <t>ГБОУ "Чербинская школа-интернат"</t>
  </si>
  <si>
    <t>ГБОУ "Кызыл-Арыгская школа-интернат"</t>
  </si>
  <si>
    <t>ГБОУ Хондергейская ШИ для детей с ОВЗ</t>
  </si>
  <si>
    <r>
      <t xml:space="preserve">по </t>
    </r>
    <r>
      <rPr>
        <u/>
        <sz val="10"/>
        <color theme="1"/>
        <rFont val="Times New Roman"/>
        <family val="1"/>
        <charset val="204"/>
      </rPr>
      <t>углю</t>
    </r>
    <r>
      <rPr>
        <sz val="10"/>
        <color theme="1"/>
        <rFont val="Times New Roman"/>
        <family val="1"/>
        <charset val="204"/>
      </rPr>
      <t xml:space="preserve"> и электроэнергии - 7 913,4 рублей</t>
    </r>
  </si>
  <si>
    <t>ГБООУ СШИ с. Шуй</t>
  </si>
  <si>
    <r>
      <t xml:space="preserve">по </t>
    </r>
    <r>
      <rPr>
        <u/>
        <sz val="10"/>
        <color theme="1"/>
        <rFont val="Times New Roman"/>
        <family val="1"/>
        <charset val="204"/>
      </rPr>
      <t>дровам</t>
    </r>
    <r>
      <rPr>
        <sz val="10"/>
        <color theme="1"/>
        <rFont val="Times New Roman"/>
        <family val="1"/>
        <charset val="204"/>
      </rPr>
      <t xml:space="preserve"> и электроэнергии - 6 650,2 рублей</t>
    </r>
  </si>
  <si>
    <t>Всего по школам-интернатам</t>
  </si>
  <si>
    <t>ГБОУ "Аграрная школа-интернат РТ"</t>
  </si>
  <si>
    <t>ГБПОУ РТ "Тувинский техникум народных промыслов" с.Тээли</t>
  </si>
  <si>
    <t>ГБПОУ РТ "Тувинский горнотехнический техникум " с.Тоора-Хем</t>
  </si>
  <si>
    <t>ГБПОУ РТ "Тувинский техникум агротехнологий " с.Сарыг-Сеп</t>
  </si>
  <si>
    <t>ГБПОУ РТ "Тувинский агропромышленный техникум"</t>
  </si>
  <si>
    <t>Всего по СПО</t>
  </si>
  <si>
    <t>Потребность с 01.09.2022</t>
  </si>
  <si>
    <t>Потребность до 01.09.2022</t>
  </si>
  <si>
    <t>Общая потребность</t>
  </si>
  <si>
    <t xml:space="preserve">Министерство образования и науки </t>
  </si>
  <si>
    <t xml:space="preserve">Академической повышенной </t>
  </si>
  <si>
    <t>Минкультура РТ</t>
  </si>
  <si>
    <t>академическая повышеная</t>
  </si>
  <si>
    <t>количество получателей</t>
  </si>
  <si>
    <t>размер материальной помощи</t>
  </si>
  <si>
    <t xml:space="preserve">Единовременная материальная помощь </t>
  </si>
  <si>
    <t>Отклонение</t>
  </si>
  <si>
    <t>Размер стипендии до 01.09.2022 (в рублях)</t>
  </si>
  <si>
    <t>Размер стипендии до 01.09.2022, в рублях</t>
  </si>
  <si>
    <t>Потребность на 2022 год на компенсацию части родительской платы за присмотр и уход за детьми, выплачиваемой родителям (законным представителям) детей, посещающих образовательные организации, реализующие образовательную программу дошкольного образовании</t>
  </si>
  <si>
    <t>Наименование МО</t>
  </si>
  <si>
    <t xml:space="preserve">Общее количество воспитанников, чел. </t>
  </si>
  <si>
    <t>Численность воспитанников в организациях, осуществляющих образовательную деятельность по образовательным программам дошкольного образования, присмотр и уход за детьми</t>
  </si>
  <si>
    <t>Средний размер платы в соответствии с ППРТ от 24.03.2014 №107, рублей</t>
  </si>
  <si>
    <t>Потребность в месяц, в рублях</t>
  </si>
  <si>
    <t>Потребность в год в тыс. рублях (Проект 2022 года)</t>
  </si>
  <si>
    <t>Проект Минобра РТ на 2022 год, в тыс. рублей</t>
  </si>
  <si>
    <t>Отклонение Проекта 2022 года от плана 2021 года</t>
  </si>
  <si>
    <t>Количество семей, получающих компенсацию первого ребенка</t>
  </si>
  <si>
    <t>На первого ребенка в размере 20%</t>
  </si>
  <si>
    <t>На второго ребенка в размере 50%</t>
  </si>
  <si>
    <t>На третьего ребенка в размере 70%</t>
  </si>
  <si>
    <t>Росстат</t>
  </si>
  <si>
    <t>В каждой семье - не менее одного ребенка с высшим образованием</t>
  </si>
  <si>
    <t>Наименование</t>
  </si>
  <si>
    <t>Количество участников</t>
  </si>
  <si>
    <t>Период выплат, месяцев</t>
  </si>
  <si>
    <t>Потребность после 01.09.2022</t>
  </si>
  <si>
    <t>Стипендии Главы РТ (постановление ПРТ от 17.11.2008 №691)</t>
  </si>
  <si>
    <t>Индексация 4,0% (с 01.09.2022)</t>
  </si>
  <si>
    <t>Размер стипендии после 01.09.2022 +4,0% (в рублях)</t>
  </si>
  <si>
    <t>Размер стипендии с 01.09.2022 (+4,0%), в рублях</t>
  </si>
  <si>
    <t>Потребность на выплату стипендий в 2022 году</t>
  </si>
  <si>
    <t>Проект Минобра РТ</t>
  </si>
  <si>
    <t>Отклонение расчета Минобра РТ от расчета Минфина РТ</t>
  </si>
  <si>
    <t>проверка</t>
  </si>
  <si>
    <t>Доля семей, получающих компенсацию на первого ребенка</t>
  </si>
  <si>
    <t>Доля семей, получающих компенсацию на второго ребенка</t>
  </si>
  <si>
    <t>Доля семей, получающих компенсацию на третьего ребенка</t>
  </si>
  <si>
    <t>Количество заявлений на выплату компенсаций части родительской платы, чел.</t>
  </si>
  <si>
    <t>Проект на 2022 год, в тыс. рублей</t>
  </si>
  <si>
    <t xml:space="preserve">Субсидия на содержание детей чабанов
в образовательных организациях на 2021 год
</t>
  </si>
  <si>
    <t xml:space="preserve">Наименование </t>
  </si>
  <si>
    <t>Количество учащихся, чел.</t>
  </si>
  <si>
    <t>Стоимость среднесуточной нормы на 1 ребенка в день, рублей</t>
  </si>
  <si>
    <t>Барун-Хемчикский</t>
  </si>
  <si>
    <t xml:space="preserve">Х </t>
  </si>
  <si>
    <t>Стоимость среднесуточной нормы на 1 ребенка в день (50% от потребности в проекте бюджета), рублей</t>
  </si>
  <si>
    <t>Количество дней пребывания</t>
  </si>
  <si>
    <t>План 2021 года, в тыс. рублей</t>
  </si>
  <si>
    <t>Отклонение, в тыс. рублей</t>
  </si>
  <si>
    <t>Мягкий инвентарь, хозяйственные расходы</t>
  </si>
  <si>
    <t>На 1 ребенка</t>
  </si>
  <si>
    <t>Всего, в тыс. рублей</t>
  </si>
  <si>
    <t xml:space="preserve">Расчет потребности на проведение медицинских осмотров  работников </t>
  </si>
  <si>
    <t>Показатель</t>
  </si>
  <si>
    <t>Численность, шт. ед.</t>
  </si>
  <si>
    <t>Стоимость медицинского осмотра 1 работника по полной стоимости, тыс. рублей</t>
  </si>
  <si>
    <t>Потребность на проведение медицинских осмотров по полной стоимости, тыс. рублей</t>
  </si>
  <si>
    <t>Стоимость медицинского осмотра 1 работника при прохождении профилактического медицинского осмотра и плановой диспансеризации, тыс. рублей</t>
  </si>
  <si>
    <t>Потребность на проведение медицинских осмотров при прохождении ПМО и ДД, тыс. рублей</t>
  </si>
  <si>
    <t>Отклонение (экономия)</t>
  </si>
  <si>
    <t>Педагогические работники</t>
  </si>
  <si>
    <t>Штатная численность</t>
  </si>
  <si>
    <t>Среднесписочная численность (физические лица)</t>
  </si>
  <si>
    <t>Медицинские работники</t>
  </si>
  <si>
    <t>Социальные работники</t>
  </si>
  <si>
    <t>ИТОГО</t>
  </si>
  <si>
    <t>-</t>
  </si>
  <si>
    <t>Расчет по медицинским осмотрам декретированных лиц</t>
  </si>
  <si>
    <t>Потребность на проведение медицинских осмотров по штатной численности, тыс. рублей</t>
  </si>
  <si>
    <t>Потребность на проведение медицинских осмотров по среднесписочной численности, тыс. рублей</t>
  </si>
  <si>
    <t>Отклонение, тыс. рублей</t>
  </si>
  <si>
    <t>Министерство образования РТ</t>
  </si>
  <si>
    <t>Министерство здравоохранения РТ</t>
  </si>
  <si>
    <t>Министерство труда и социальной защиты РТ</t>
  </si>
  <si>
    <t>Муниципальные образования РТ, в том числе</t>
  </si>
  <si>
    <t>Дзун-Хемчикский</t>
  </si>
  <si>
    <t xml:space="preserve">Каа-Хемский </t>
  </si>
  <si>
    <t>Пий-Хемский</t>
  </si>
  <si>
    <t>Тандинский</t>
  </si>
  <si>
    <t>Субсидии частным дошкольным организациям на 2022 год</t>
  </si>
  <si>
    <t>Месторасположение</t>
  </si>
  <si>
    <t>Наименование частных дошкольных организаций</t>
  </si>
  <si>
    <t>Численность воспитанников</t>
  </si>
  <si>
    <t>Шт.ед</t>
  </si>
  <si>
    <t>Расход на 1-го ребенка</t>
  </si>
  <si>
    <t xml:space="preserve"> в том числе расход на 1-го ребенка</t>
  </si>
  <si>
    <t>Норматив на 1 реб.в год, руб.</t>
  </si>
  <si>
    <t>Учебные расходы</t>
  </si>
  <si>
    <t>ст.211</t>
  </si>
  <si>
    <t>ст.213</t>
  </si>
  <si>
    <t>с 3 до 7 лет</t>
  </si>
  <si>
    <t>до 3 л</t>
  </si>
  <si>
    <t>1.</t>
  </si>
  <si>
    <t xml:space="preserve"> г.Кызыл</t>
  </si>
  <si>
    <t>"Почемучки" г. Кызыл</t>
  </si>
  <si>
    <t>2.</t>
  </si>
  <si>
    <t>"Эчис" г.Кызыл</t>
  </si>
  <si>
    <t>3.</t>
  </si>
  <si>
    <t xml:space="preserve"> Кызылский кожуун</t>
  </si>
  <si>
    <t>"Хунчугеш" пгт. Каа-Хем Кызылский кожуун</t>
  </si>
  <si>
    <t>4.</t>
  </si>
  <si>
    <t xml:space="preserve"> Монгун-Тайгинский</t>
  </si>
  <si>
    <t>"Артышок" с. Мугур-Аксы Монгун-Тайгинского кожууна</t>
  </si>
  <si>
    <t>5.</t>
  </si>
  <si>
    <t>6.</t>
  </si>
  <si>
    <t>Беби-бум г.Кызыл</t>
  </si>
  <si>
    <t>ДОУ "Олчей" с. Хайыракан Дзун-Хемчикского кожууна</t>
  </si>
  <si>
    <t>ЧДОУ "Аистенок"</t>
  </si>
  <si>
    <t>г.Туран</t>
  </si>
  <si>
    <t>ЧДОУ "Три кота"</t>
  </si>
  <si>
    <t>г. Кызыл</t>
  </si>
  <si>
    <t>ЧДОУ "Престиж"</t>
  </si>
  <si>
    <t>На основании постановления Правительства Республики Тыва от 9 марта 2017г. № 91</t>
  </si>
  <si>
    <t xml:space="preserve">всего потребность в день  </t>
  </si>
  <si>
    <t xml:space="preserve">всего потребность в месяц  </t>
  </si>
  <si>
    <t xml:space="preserve">всего потребность  в год </t>
  </si>
  <si>
    <t>АКТУАЛЬНАЯ ТАБЛИЦА У СТАСА</t>
  </si>
  <si>
    <r>
      <t xml:space="preserve">Расчет потребности  по оплате компенсации по коммунальным услугам для сельских специалистов </t>
    </r>
    <r>
      <rPr>
        <b/>
        <u/>
        <sz val="14"/>
        <color theme="1"/>
        <rFont val="Times New Roman"/>
        <family val="1"/>
        <charset val="204"/>
      </rPr>
      <t>образования</t>
    </r>
    <r>
      <rPr>
        <b/>
        <sz val="14"/>
        <color theme="1"/>
        <rFont val="Times New Roman"/>
        <family val="1"/>
        <charset val="204"/>
      </rPr>
      <t xml:space="preserve"> на 2022 год </t>
    </r>
  </si>
  <si>
    <t>Расчет потребности на учебники в 2022 году</t>
  </si>
  <si>
    <t xml:space="preserve">Учебные расходы </t>
  </si>
  <si>
    <t>ДОУ</t>
  </si>
  <si>
    <t>ОУ</t>
  </si>
  <si>
    <t>90% на учебники</t>
  </si>
  <si>
    <t xml:space="preserve">Потребность на приобретение учебников </t>
  </si>
  <si>
    <t>Необходимо предусмотреть, чтобы покрыть потребность за 2 года</t>
  </si>
  <si>
    <t>Необходимо направить на учебники в 2023 году</t>
  </si>
  <si>
    <t>Предусмотрено как центр. расходы Минобра РТ</t>
  </si>
  <si>
    <t>Предусмотрено всего</t>
  </si>
  <si>
    <t>Предусмотрено на летнюю оздоровительную кампанию в 2022 году</t>
  </si>
  <si>
    <t>Наименование расходов</t>
  </si>
  <si>
    <t>ГРБС</t>
  </si>
  <si>
    <t>Организация отдыха и оздоровления детей в оздоровительных организациях</t>
  </si>
  <si>
    <t xml:space="preserve">Проект 2022 года ГРБС </t>
  </si>
  <si>
    <t>Медикаменты</t>
  </si>
  <si>
    <t>Оздоровление детей, находящихся на диспансерном учете</t>
  </si>
  <si>
    <t>Минтруд РТ</t>
  </si>
  <si>
    <t>Проведение оздоровительной кампании детей, находящися в трудной жизненной ситуации</t>
  </si>
  <si>
    <t>Агентство по делам молодежи РТ</t>
  </si>
  <si>
    <t>Организация отдыха, оздоровления и занятости несовершеннолетних и молодежи</t>
  </si>
  <si>
    <t>По муниципальным образованиям</t>
  </si>
  <si>
    <t>Всего воспитанников на 2021-2022 год, чел.</t>
  </si>
  <si>
    <t>Количество семей, получающих компенсацию второго ребенка</t>
  </si>
  <si>
    <t>Количество семей, получающих компенсацию третьего ребенка</t>
  </si>
  <si>
    <t>Состав затрат на оказание государственной услуги</t>
  </si>
  <si>
    <t>Проект ГРБС 2022 года</t>
  </si>
  <si>
    <t>Услуги по содержанию имущества (225)</t>
  </si>
  <si>
    <t xml:space="preserve">Текущий ремонт зданий и сооружений </t>
  </si>
  <si>
    <t>Ремонт оборудования (оргтехники)</t>
  </si>
  <si>
    <t>Содержание помещений (заправка картриджей и тд)</t>
  </si>
  <si>
    <t>Проект Минфина РТ на 2022 год</t>
  </si>
  <si>
    <t>Расшифровка статьи 225 "Услуги по содержанию имущества"</t>
  </si>
  <si>
    <t>уборка снега, мусора</t>
  </si>
  <si>
    <t>эксплуатация системы охранной сигнализации и противопожарной безопасности</t>
  </si>
  <si>
    <t>расходы по содержанию помещений</t>
  </si>
  <si>
    <t>Детский дом</t>
  </si>
  <si>
    <t>ККИ</t>
  </si>
  <si>
    <t>Ресурсный</t>
  </si>
  <si>
    <t>РШИ</t>
  </si>
  <si>
    <t>УОР</t>
  </si>
  <si>
    <t xml:space="preserve">другие аналогичные расходы </t>
  </si>
  <si>
    <t>ЛОК (Минобра)</t>
  </si>
  <si>
    <t>ИОКО</t>
  </si>
  <si>
    <t>РЦВПП</t>
  </si>
  <si>
    <t>Сайзырал</t>
  </si>
  <si>
    <t>ЦУМ</t>
  </si>
  <si>
    <t>ИРНШ</t>
  </si>
  <si>
    <t xml:space="preserve">ТИРО </t>
  </si>
  <si>
    <t>КТТ</t>
  </si>
  <si>
    <t xml:space="preserve">СПО </t>
  </si>
  <si>
    <t>РЦДО</t>
  </si>
  <si>
    <t>Аграрная шк-инт</t>
  </si>
  <si>
    <t>Школы-интернаты</t>
  </si>
  <si>
    <t>СОШ 10</t>
  </si>
  <si>
    <t>Реслицей</t>
  </si>
  <si>
    <t>Агролицей</t>
  </si>
  <si>
    <t>Гослицей</t>
  </si>
  <si>
    <t>Тувинский научный центр (0110)</t>
  </si>
  <si>
    <t>!Расчет исходя из штатной численности</t>
  </si>
  <si>
    <t>Наименование расходной статьи</t>
  </si>
  <si>
    <t>Проект 2021 года</t>
  </si>
  <si>
    <t>Примечание</t>
  </si>
  <si>
    <t>Приобретение основных средств ГБНОУ "Республиканская общеобразовательная музыкально-художественная школа-интернат им. Р.Д. Кенденбиля"</t>
  </si>
  <si>
    <t>Средства, предусмотренные в проекте по отрасли ""Образование" на 2022 год</t>
  </si>
  <si>
    <t>Социальное обеспечение</t>
  </si>
  <si>
    <t xml:space="preserve">Субсидии частным дошкольным организациям </t>
  </si>
  <si>
    <t>Субсидии частным дошкольным организациям. Общее количество частных детских садов на текущую дату - 10 (с учетом 2 открывшихся в 2021 году ЧДОУ "Три кота" с марта 2021 года в г.Туран и ЧДОУ "Престиж" с июля 2021 года в г.Кызыле).</t>
  </si>
  <si>
    <t xml:space="preserve"> Субсидии на компенсацию части затрат по ипотечным кредитам на приобретение (строительство) жилья лицам, окончившим с отличием.</t>
  </si>
  <si>
    <t xml:space="preserve">Софинансирование </t>
  </si>
  <si>
    <t>Капитальный ремонт</t>
  </si>
  <si>
    <t>Единовременные выплаты педагогическим работникам (5 учителям-носителям русского языка, 30 молодым специалистам)</t>
  </si>
  <si>
    <t>Образовательные курсы по повышению квалификации позволят повысить качество образовательных резуьтатов и обеспечение организованной подготовки обучающихся 9 и 11 классов общеобразовательных организаций для успешного прохождения ГИА по программам основного и среднего общего образования в 2021/2022 учебном году. При этом в проекте республиканского бюджета на 2022 год предусмотрены средства на проведение государственной итоговой аттестации выпускников общеобразовательных учреждений 2022 года в размере 26 251,0 тыс. рублей, что на 438,2 тыс. рублей или на 1,7% больше аналогичного показателя 2021 года.</t>
  </si>
  <si>
    <t>реализация регионального образовательного проекта "Совершенствование механизмов повышения качества образования - подготовка к ЕГЭ и ОГЭ"</t>
  </si>
  <si>
    <t>Во исполнение рабочего совещания у и.о. заместителя Председателя Правительства Республики Тыва С.Х. Сенгии от 20.08.2021 года №03-05-98/21 на разработку электронной версии первого тома «Урянхайско-тувинской энциклопедии» потребность 300,0 тыс. рублей</t>
  </si>
  <si>
    <t xml:space="preserve">Разработка электронной версии первого тома «Урянхайско-тувинской энциклопедии» </t>
  </si>
  <si>
    <t xml:space="preserve">Вневедомственная охрана общеобразовательных учреждений </t>
  </si>
  <si>
    <t>В соответствии с постановлением Правительства РФ от 02.08.2019 года №1006 «Об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(территорий)» в целях обеспечения антитеррористической защищенности объектов (территорий) образовательных учреждений необходимо установление кнопки тревожной сигнализации.
На текущую дату в 116 общеобразовательных учреждениях (из 175) отсутствуют кнопки тревожной сигнализации. При этом общая потребность на оплату услуг «кнопка тревожной сигнализации» ФГКУ «ОВО ВНГ России по Республике Тыва» в месяц составляет 1 706,2 тыс. рублей, с сентября по декабрь текущего года - 6 824,9 тыс. рублей, в год - 20 474,8 тыс. рублей.</t>
  </si>
  <si>
    <t xml:space="preserve">Обеспечение школьных автобусов ГСМ </t>
  </si>
  <si>
    <t>Приобретение пищеблоков</t>
  </si>
  <si>
    <t xml:space="preserve">Обеспечение учебниками </t>
  </si>
  <si>
    <t>Потребность на проведение медицинских осмотров</t>
  </si>
  <si>
    <t>Приобретение учебников 302,3 тыс. рублей, музыкальных инструментов (4 детские гитары, 2 кларнета, 1 цифровое пианино) 2368,4 тыс. рублей, лабораторного оборудования и предметов для химии, физики, химии 900,0 тыс. рублей, основных средств для столовой -265,0 тыс. рублей, интерактивной доски - 640,5 тыс. рублей, закупка основных средств на 277,8 тыс. рублей:бактерицидных ламп 20 шт, передвижного бактерицидного облучателя 4 шт, электронного дозатора для антисептика 16 шт. (Согласовано 28.10.2021 года).</t>
  </si>
  <si>
    <t xml:space="preserve">План 2021 </t>
  </si>
  <si>
    <t>Проект 2022</t>
  </si>
  <si>
    <t>Пояснение</t>
  </si>
  <si>
    <t>Летняя оздоровительная кампания по линии Минтруда РТ</t>
  </si>
  <si>
    <t>Госпрограмма РТ "Развитие системы государственной молодежной политики на 2022 - 2024 годы"</t>
  </si>
  <si>
    <t>Госпрограмма РТ "Развитие государственных языков РТ на 2021 - 2024 годы"</t>
  </si>
  <si>
    <t>СПО</t>
  </si>
  <si>
    <t>СОШ №10</t>
  </si>
  <si>
    <t>Аграрная школа-интернат</t>
  </si>
  <si>
    <t>Госпрограмма РТ "Профилактика безнадзорности и правонарушений несовершеннолетних на 2022 - 2024 годы"</t>
  </si>
  <si>
    <t>Оплата услуг по обучению на курсах повышения квалификации, подготовки и переподготовки специалистов</t>
  </si>
  <si>
    <t>Повышение квалификации специалистов ГМП 70,0 тыс. рублей, проведение обучающих курсов для руководителей и активистов молодежных общественных организаций, движений 50,0 тыс. рублей, зональные выезды в муниципальные образования по развитию молодежного предпринимательства на территории региона 100,0 тыс. рублей</t>
  </si>
  <si>
    <t>Для учителей - курсы в сфере образования на 30 чел. по 1,4 тыс.рублей, руководства - "управление персоналом" на 2 чел. по 4,0 тыс. рублей, бухгалтерии - "повышение квалификации по 44-фз" 10 тыс. рублей на 1 чел.</t>
  </si>
  <si>
    <t xml:space="preserve">ГБОУ РЦПМСС "Сайзырал" </t>
  </si>
  <si>
    <t>Повышение квалификации водителей транспортных средств категории В,С,Д для управления транспортными средствами, оборудованными устройствами для подачи специальных световых и звуковых сигналов, проведение технического минимума по ПДД, повышение квалификации педработников по навыкам оказания первой помощи, курсы по безопасности дорожного движения</t>
  </si>
  <si>
    <t>Курсы повышения квалификации педагогического состава ОВЗ в количестве 3 чел.</t>
  </si>
  <si>
    <t>Повышение квалификации водителей транспортных средств категории В,С,Д для управления транспортными средствами, оборудованными устройствами для подачи специальных световых и звуковых сигналов, проведение технического минимума по ПДД, курсы по безопасности дорожного движения, обучение по охране труда</t>
  </si>
  <si>
    <t>Повышение квалификации педработников по навыкам оказания первой помощи, проведение технического минимума по ПДД</t>
  </si>
  <si>
    <t>Курсы подготовки специалистов по отраслевому направлению подготовки</t>
  </si>
  <si>
    <t>Повышение квалификации педработников по навыкам оказания первой помощи, курсы по безопасности дорожного движения, проведение технического минимума по ПДД</t>
  </si>
  <si>
    <t xml:space="preserve">Организация курсов по методике преподавания русского языка для учителей во исполнение цели госпрограммы
</t>
  </si>
  <si>
    <t>Расшифровка статьи "продукты питания" (340)</t>
  </si>
  <si>
    <t>Госпрограмма РТ "Патриотическое воспитание граждан, проживающих в Республике Тыва, на 2022 - 2024 годы"</t>
  </si>
  <si>
    <t>Предусмотрено в подведом. учр. Минобра РТ</t>
  </si>
  <si>
    <t>Предусмотрено в проекте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</si>
</sst>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#,##0.0\ _₽"/>
    <numFmt numFmtId="168" formatCode="_(* #,##0.00_);_(* \(#,##0.00\);_(* &quot;-&quot;??_);_(@_)"/>
    <numFmt numFmtId="169" formatCode="_-* #,##0.0_р_._-;\-* #,##0.0_р_._-;_-* &quot;-&quot;??_р_._-;_-@_-"/>
    <numFmt numFmtId="170" formatCode="_-* #,##0.0\ _₽_-;\-* #,##0.0\ _₽_-;_-* &quot;-&quot;??\ _₽_-;_-@_-"/>
    <numFmt numFmtId="171" formatCode="_-* #,##0.0_р_._-;\-* #,##0.0_р_._-;_-* &quot;-&quot;?_р_._-;_-@_-"/>
    <numFmt numFmtId="172" formatCode="_-* #,##0_р_._-;\-* #,##0_р_._-;_-* &quot;-&quot;??_р_._-;_-@_-"/>
    <numFmt numFmtId="173" formatCode="0.0%"/>
    <numFmt numFmtId="174" formatCode="_-* #,##0\ _₽_-;\-* #,##0\ _₽_-;_-* &quot;-&quot;??\ _₽_-;_-@_-"/>
    <numFmt numFmtId="175" formatCode="_-* #,##0.0\ _₽_-;\-* #,##0.0\ _₽_-;_-* &quot;-&quot;?\ _₽_-;_-@_-"/>
    <numFmt numFmtId="176" formatCode="0.0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Arial Cyr"/>
      <family val="2"/>
      <charset val="204"/>
    </font>
    <font>
      <sz val="16"/>
      <color theme="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84">
    <xf numFmtId="0" fontId="0" fillId="0" borderId="0"/>
    <xf numFmtId="164" fontId="15" fillId="0" borderId="0" applyFont="0" applyFill="0" applyBorder="0" applyAlignment="0" applyProtection="0"/>
    <xf numFmtId="0" fontId="4" fillId="0" borderId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4" fillId="0" borderId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1" fillId="28" borderId="10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2" fillId="28" borderId="9" applyNumberFormat="0" applyAlignment="0" applyProtection="0"/>
    <xf numFmtId="0" fontId="33" fillId="0" borderId="11" applyNumberFormat="0">
      <alignment horizontal="right" vertical="top"/>
    </xf>
    <xf numFmtId="0" fontId="33" fillId="0" borderId="11" applyNumberFormat="0">
      <alignment horizontal="right" vertical="top"/>
    </xf>
    <xf numFmtId="0" fontId="33" fillId="29" borderId="11" applyNumberFormat="0">
      <alignment horizontal="right" vertical="top"/>
    </xf>
    <xf numFmtId="49" fontId="33" fillId="28" borderId="11">
      <alignment horizontal="left" vertical="top"/>
    </xf>
    <xf numFmtId="49" fontId="34" fillId="0" borderId="11">
      <alignment horizontal="left" vertical="top"/>
    </xf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19" borderId="11">
      <alignment horizontal="left" vertical="top" wrapText="1"/>
    </xf>
    <xf numFmtId="0" fontId="34" fillId="0" borderId="11">
      <alignment horizontal="left" vertical="top" wrapText="1"/>
    </xf>
    <xf numFmtId="0" fontId="33" fillId="10" borderId="11">
      <alignment horizontal="left" vertical="top" wrapText="1"/>
    </xf>
    <xf numFmtId="0" fontId="33" fillId="30" borderId="11">
      <alignment horizontal="left" vertical="top" wrapText="1"/>
    </xf>
    <xf numFmtId="0" fontId="33" fillId="31" borderId="11">
      <alignment horizontal="left" vertical="top" wrapText="1"/>
    </xf>
    <xf numFmtId="0" fontId="33" fillId="32" borderId="11">
      <alignment horizontal="left" vertical="top" wrapText="1"/>
    </xf>
    <xf numFmtId="0" fontId="33" fillId="0" borderId="11">
      <alignment horizontal="left" vertical="top" wrapText="1"/>
    </xf>
    <xf numFmtId="0" fontId="38" fillId="0" borderId="0">
      <alignment horizontal="left" vertical="top"/>
    </xf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0" fillId="33" borderId="16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3" fillId="0" borderId="0"/>
    <xf numFmtId="0" fontId="15" fillId="0" borderId="0"/>
    <xf numFmtId="0" fontId="15" fillId="0" borderId="0"/>
    <xf numFmtId="0" fontId="4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43" fillId="0" borderId="0"/>
    <xf numFmtId="0" fontId="44" fillId="0" borderId="0"/>
    <xf numFmtId="0" fontId="4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15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28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3" fillId="19" borderId="17" applyNumberFormat="0">
      <alignment horizontal="right" vertical="top"/>
    </xf>
    <xf numFmtId="0" fontId="33" fillId="10" borderId="17" applyNumberFormat="0">
      <alignment horizontal="right" vertical="top"/>
    </xf>
    <xf numFmtId="0" fontId="33" fillId="0" borderId="11" applyNumberFormat="0">
      <alignment horizontal="right" vertical="top"/>
    </xf>
    <xf numFmtId="0" fontId="33" fillId="0" borderId="11" applyNumberFormat="0">
      <alignment horizontal="right" vertical="top"/>
    </xf>
    <xf numFmtId="0" fontId="33" fillId="30" borderId="17" applyNumberFormat="0">
      <alignment horizontal="right" vertical="top"/>
    </xf>
    <xf numFmtId="0" fontId="33" fillId="0" borderId="11" applyNumberFormat="0">
      <alignment horizontal="right" vertical="top"/>
    </xf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3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33" fillId="35" borderId="18" applyNumberFormat="0" applyFont="0" applyAlignment="0" applyProtection="0"/>
    <xf numFmtId="0" fontId="3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0" fontId="43" fillId="35" borderId="18" applyNumberFormat="0" applyFont="0" applyAlignment="0" applyProtection="0"/>
    <xf numFmtId="9" fontId="15" fillId="0" borderId="0" applyFont="0" applyFill="0" applyBorder="0" applyAlignment="0" applyProtection="0"/>
    <xf numFmtId="49" fontId="49" fillId="34" borderId="11">
      <alignment horizontal="left" vertical="top" wrapText="1"/>
    </xf>
    <xf numFmtId="49" fontId="33" fillId="0" borderId="11">
      <alignment horizontal="left" vertical="top" wrapText="1"/>
    </xf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6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33" fillId="32" borderId="11">
      <alignment horizontal="left" vertical="top" wrapText="1"/>
    </xf>
    <xf numFmtId="0" fontId="33" fillId="0" borderId="11">
      <alignment horizontal="left" vertical="top" wrapText="1"/>
    </xf>
    <xf numFmtId="0" fontId="3" fillId="0" borderId="0"/>
    <xf numFmtId="164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0" fontId="43" fillId="0" borderId="0"/>
    <xf numFmtId="164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789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" fontId="7" fillId="2" borderId="5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4" fontId="6" fillId="0" borderId="5" xfId="0" applyNumberFormat="1" applyFont="1" applyBorder="1"/>
    <xf numFmtId="0" fontId="7" fillId="0" borderId="0" xfId="0" applyFont="1"/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4" fontId="7" fillId="0" borderId="5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" fontId="6" fillId="0" borderId="0" xfId="0" applyNumberFormat="1" applyFont="1"/>
    <xf numFmtId="0" fontId="6" fillId="0" borderId="0" xfId="0" applyFont="1"/>
    <xf numFmtId="4" fontId="7" fillId="0" borderId="0" xfId="0" applyNumberFormat="1" applyFont="1"/>
    <xf numFmtId="0" fontId="7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7" fillId="0" borderId="0" xfId="0" applyFont="1" applyFill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left" vertical="center"/>
    </xf>
    <xf numFmtId="4" fontId="8" fillId="2" borderId="5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4" fontId="7" fillId="0" borderId="3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Fill="1"/>
    <xf numFmtId="4" fontId="9" fillId="0" borderId="1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/>
    <xf numFmtId="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/>
    <xf numFmtId="4" fontId="6" fillId="2" borderId="1" xfId="0" applyNumberFormat="1" applyFont="1" applyFill="1" applyBorder="1"/>
    <xf numFmtId="0" fontId="6" fillId="2" borderId="0" xfId="0" applyFont="1" applyFill="1"/>
    <xf numFmtId="4" fontId="10" fillId="2" borderId="5" xfId="0" applyNumberFormat="1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4" fontId="9" fillId="4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4" fontId="6" fillId="0" borderId="0" xfId="0" applyNumberFormat="1" applyFont="1" applyBorder="1"/>
    <xf numFmtId="4" fontId="6" fillId="0" borderId="0" xfId="0" applyNumberFormat="1" applyFont="1" applyFill="1" applyBorder="1"/>
    <xf numFmtId="4" fontId="7" fillId="5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4" fontId="5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10" fillId="0" borderId="1" xfId="0" applyNumberFormat="1" applyFont="1" applyFill="1" applyBorder="1" applyAlignment="1">
      <alignment horizontal="center" wrapText="1"/>
    </xf>
    <xf numFmtId="4" fontId="7" fillId="0" borderId="5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64" fontId="16" fillId="0" borderId="1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9" fillId="0" borderId="0" xfId="2" applyFont="1" applyFill="1" applyAlignment="1">
      <alignment vertical="center"/>
    </xf>
    <xf numFmtId="0" fontId="20" fillId="0" borderId="0" xfId="2" applyFont="1" applyFill="1" applyAlignment="1">
      <alignment vertical="center" wrapText="1"/>
    </xf>
    <xf numFmtId="0" fontId="20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19" fillId="0" borderId="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/>
    </xf>
    <xf numFmtId="0" fontId="22" fillId="7" borderId="1" xfId="2" applyFont="1" applyFill="1" applyBorder="1" applyAlignment="1">
      <alignment horizontal="center" vertical="center" wrapText="1"/>
    </xf>
    <xf numFmtId="1" fontId="22" fillId="7" borderId="1" xfId="2" applyNumberFormat="1" applyFont="1" applyFill="1" applyBorder="1" applyAlignment="1">
      <alignment horizontal="center" vertical="center" wrapText="1"/>
    </xf>
    <xf numFmtId="165" fontId="22" fillId="7" borderId="1" xfId="2" applyNumberFormat="1" applyFont="1" applyFill="1" applyBorder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0" fillId="0" borderId="1" xfId="2" applyFont="1" applyFill="1" applyBorder="1" applyAlignment="1">
      <alignment vertical="center" wrapText="1"/>
    </xf>
    <xf numFmtId="1" fontId="21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/>
    </xf>
    <xf numFmtId="165" fontId="20" fillId="0" borderId="1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vertical="center"/>
    </xf>
    <xf numFmtId="0" fontId="24" fillId="8" borderId="1" xfId="2" applyFont="1" applyFill="1" applyBorder="1" applyAlignment="1">
      <alignment vertical="center" wrapText="1"/>
    </xf>
    <xf numFmtId="1" fontId="22" fillId="8" borderId="1" xfId="2" applyNumberFormat="1" applyFont="1" applyFill="1" applyBorder="1" applyAlignment="1">
      <alignment horizontal="center" vertical="center"/>
    </xf>
    <xf numFmtId="165" fontId="22" fillId="9" borderId="1" xfId="2" applyNumberFormat="1" applyFont="1" applyFill="1" applyBorder="1" applyAlignment="1">
      <alignment horizontal="center" vertical="center"/>
    </xf>
    <xf numFmtId="165" fontId="22" fillId="8" borderId="1" xfId="2" applyNumberFormat="1" applyFont="1" applyFill="1" applyBorder="1" applyAlignment="1">
      <alignment horizontal="center" vertical="center"/>
    </xf>
    <xf numFmtId="1" fontId="19" fillId="3" borderId="1" xfId="2" applyNumberFormat="1" applyFont="1" applyFill="1" applyBorder="1" applyAlignment="1">
      <alignment vertical="center" wrapText="1"/>
    </xf>
    <xf numFmtId="1" fontId="20" fillId="3" borderId="1" xfId="2" applyNumberFormat="1" applyFont="1" applyFill="1" applyBorder="1" applyAlignment="1">
      <alignment horizontal="center" vertical="center"/>
    </xf>
    <xf numFmtId="1" fontId="19" fillId="3" borderId="1" xfId="2" applyNumberFormat="1" applyFont="1" applyFill="1" applyBorder="1" applyAlignment="1">
      <alignment horizontal="center" vertical="center"/>
    </xf>
    <xf numFmtId="1" fontId="23" fillId="3" borderId="1" xfId="2" applyNumberFormat="1" applyFont="1" applyFill="1" applyBorder="1" applyAlignment="1">
      <alignment horizontal="center" vertical="center"/>
    </xf>
    <xf numFmtId="165" fontId="20" fillId="3" borderId="1" xfId="2" applyNumberFormat="1" applyFont="1" applyFill="1" applyBorder="1" applyAlignment="1">
      <alignment horizontal="center" vertical="center"/>
    </xf>
    <xf numFmtId="165" fontId="19" fillId="3" borderId="1" xfId="2" applyNumberFormat="1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vertical="center" wrapText="1"/>
    </xf>
    <xf numFmtId="1" fontId="24" fillId="8" borderId="1" xfId="2" applyNumberFormat="1" applyFont="1" applyFill="1" applyBorder="1" applyAlignment="1">
      <alignment horizontal="center" vertical="center"/>
    </xf>
    <xf numFmtId="165" fontId="20" fillId="8" borderId="1" xfId="2" applyNumberFormat="1" applyFont="1" applyFill="1" applyBorder="1" applyAlignment="1">
      <alignment horizontal="center" vertical="center"/>
    </xf>
    <xf numFmtId="165" fontId="24" fillId="8" borderId="1" xfId="2" applyNumberFormat="1" applyFont="1" applyFill="1" applyBorder="1" applyAlignment="1">
      <alignment horizontal="center" vertical="center"/>
    </xf>
    <xf numFmtId="1" fontId="25" fillId="3" borderId="1" xfId="2" applyNumberFormat="1" applyFont="1" applyFill="1" applyBorder="1" applyAlignment="1">
      <alignment horizontal="left" vertical="center" wrapText="1"/>
    </xf>
    <xf numFmtId="1" fontId="19" fillId="0" borderId="1" xfId="2" applyNumberFormat="1" applyFont="1" applyFill="1" applyBorder="1" applyAlignment="1">
      <alignment horizontal="center" vertical="center"/>
    </xf>
    <xf numFmtId="1" fontId="20" fillId="2" borderId="1" xfId="2" applyNumberFormat="1" applyFont="1" applyFill="1" applyBorder="1" applyAlignment="1">
      <alignment horizontal="center" vertical="center"/>
    </xf>
    <xf numFmtId="1" fontId="19" fillId="2" borderId="1" xfId="2" applyNumberFormat="1" applyFont="1" applyFill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165" fontId="19" fillId="0" borderId="1" xfId="2" applyNumberFormat="1" applyFont="1" applyFill="1" applyBorder="1" applyAlignment="1">
      <alignment horizontal="center" vertical="center"/>
    </xf>
    <xf numFmtId="0" fontId="19" fillId="0" borderId="0" xfId="2" applyFont="1" applyFill="1" applyAlignment="1">
      <alignment vertical="center" wrapText="1"/>
    </xf>
    <xf numFmtId="0" fontId="19" fillId="0" borderId="0" xfId="2" applyFont="1" applyFill="1" applyAlignment="1">
      <alignment horizontal="center" vertical="center"/>
    </xf>
    <xf numFmtId="0" fontId="23" fillId="0" borderId="1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/>
    </xf>
    <xf numFmtId="3" fontId="19" fillId="0" borderId="1" xfId="2" applyNumberFormat="1" applyFont="1" applyFill="1" applyBorder="1" applyAlignment="1">
      <alignment horizontal="center" vertical="center"/>
    </xf>
    <xf numFmtId="166" fontId="20" fillId="0" borderId="1" xfId="2" applyNumberFormat="1" applyFont="1" applyFill="1" applyBorder="1" applyAlignment="1">
      <alignment horizontal="center" vertical="center"/>
    </xf>
    <xf numFmtId="167" fontId="16" fillId="0" borderId="0" xfId="2" applyNumberFormat="1" applyFont="1" applyBorder="1" applyAlignment="1">
      <alignment horizontal="center" vertical="top" wrapText="1"/>
    </xf>
    <xf numFmtId="166" fontId="19" fillId="0" borderId="1" xfId="2" applyNumberFormat="1" applyFont="1" applyFill="1" applyBorder="1" applyAlignment="1">
      <alignment horizontal="center" vertical="center"/>
    </xf>
    <xf numFmtId="166" fontId="19" fillId="0" borderId="0" xfId="2" applyNumberFormat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horizontal="center" vertical="center"/>
    </xf>
    <xf numFmtId="166" fontId="19" fillId="0" borderId="0" xfId="2" applyNumberFormat="1" applyFont="1" applyFill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23" fillId="0" borderId="0" xfId="2" applyFont="1" applyFill="1" applyAlignment="1">
      <alignment vertical="center" wrapText="1"/>
    </xf>
    <xf numFmtId="0" fontId="3" fillId="3" borderId="0" xfId="1054" applyFill="1"/>
    <xf numFmtId="0" fontId="5" fillId="3" borderId="0" xfId="1054" applyFont="1" applyFill="1"/>
    <xf numFmtId="0" fontId="5" fillId="3" borderId="0" xfId="1054" applyFont="1" applyFill="1" applyAlignment="1">
      <alignment horizontal="center"/>
    </xf>
    <xf numFmtId="166" fontId="5" fillId="3" borderId="1" xfId="1054" applyNumberFormat="1" applyFont="1" applyFill="1" applyBorder="1" applyAlignment="1">
      <alignment horizontal="center" vertical="center"/>
    </xf>
    <xf numFmtId="0" fontId="5" fillId="3" borderId="1" xfId="1054" applyFont="1" applyFill="1" applyBorder="1" applyAlignment="1">
      <alignment horizontal="center"/>
    </xf>
    <xf numFmtId="0" fontId="5" fillId="3" borderId="1" xfId="1054" applyFont="1" applyFill="1" applyBorder="1" applyAlignment="1">
      <alignment horizontal="center" vertical="center" wrapText="1"/>
    </xf>
    <xf numFmtId="0" fontId="5" fillId="3" borderId="1" xfId="1054" applyFont="1" applyFill="1" applyBorder="1" applyAlignment="1">
      <alignment horizontal="center" vertical="center"/>
    </xf>
    <xf numFmtId="166" fontId="55" fillId="3" borderId="1" xfId="1054" applyNumberFormat="1" applyFont="1" applyFill="1" applyBorder="1" applyAlignment="1">
      <alignment horizontal="center"/>
    </xf>
    <xf numFmtId="166" fontId="55" fillId="2" borderId="1" xfId="1054" applyNumberFormat="1" applyFont="1" applyFill="1" applyBorder="1" applyAlignment="1">
      <alignment horizontal="center"/>
    </xf>
    <xf numFmtId="1" fontId="55" fillId="3" borderId="1" xfId="1054" applyNumberFormat="1" applyFont="1" applyFill="1" applyBorder="1" applyAlignment="1">
      <alignment horizontal="center"/>
    </xf>
    <xf numFmtId="1" fontId="56" fillId="3" borderId="1" xfId="843" applyNumberFormat="1" applyFont="1" applyFill="1" applyBorder="1" applyAlignment="1">
      <alignment horizontal="center" vertical="center" wrapText="1"/>
    </xf>
    <xf numFmtId="166" fontId="5" fillId="3" borderId="1" xfId="1054" applyNumberFormat="1" applyFont="1" applyFill="1" applyBorder="1" applyAlignment="1">
      <alignment horizontal="center"/>
    </xf>
    <xf numFmtId="166" fontId="5" fillId="2" borderId="1" xfId="1054" applyNumberFormat="1" applyFont="1" applyFill="1" applyBorder="1" applyAlignment="1">
      <alignment horizontal="center"/>
    </xf>
    <xf numFmtId="1" fontId="18" fillId="3" borderId="1" xfId="843" applyNumberFormat="1" applyFont="1" applyFill="1" applyBorder="1" applyAlignment="1">
      <alignment horizontal="center" vertical="center" wrapText="1"/>
    </xf>
    <xf numFmtId="1" fontId="5" fillId="3" borderId="1" xfId="1054" applyNumberFormat="1" applyFont="1" applyFill="1" applyBorder="1" applyAlignment="1">
      <alignment horizontal="center"/>
    </xf>
    <xf numFmtId="0" fontId="5" fillId="3" borderId="1" xfId="1054" applyFont="1" applyFill="1" applyBorder="1"/>
    <xf numFmtId="0" fontId="54" fillId="36" borderId="0" xfId="1054" applyFont="1" applyFill="1"/>
    <xf numFmtId="0" fontId="55" fillId="36" borderId="0" xfId="1054" applyFont="1" applyFill="1"/>
    <xf numFmtId="0" fontId="55" fillId="36" borderId="1" xfId="1054" applyFont="1" applyFill="1" applyBorder="1"/>
    <xf numFmtId="0" fontId="55" fillId="36" borderId="6" xfId="1054" applyFont="1" applyFill="1" applyBorder="1"/>
    <xf numFmtId="166" fontId="55" fillId="36" borderId="1" xfId="1054" applyNumberFormat="1" applyFont="1" applyFill="1" applyBorder="1" applyAlignment="1">
      <alignment horizontal="center"/>
    </xf>
    <xf numFmtId="0" fontId="55" fillId="36" borderId="1" xfId="1054" applyFont="1" applyFill="1" applyBorder="1" applyAlignment="1">
      <alignment horizontal="center"/>
    </xf>
    <xf numFmtId="1" fontId="18" fillId="36" borderId="1" xfId="843" applyNumberFormat="1" applyFont="1" applyFill="1" applyBorder="1" applyAlignment="1">
      <alignment horizontal="center" vertical="center" wrapText="1"/>
    </xf>
    <xf numFmtId="0" fontId="55" fillId="36" borderId="1" xfId="1054" applyFont="1" applyFill="1" applyBorder="1" applyAlignment="1">
      <alignment vertical="top" wrapText="1"/>
    </xf>
    <xf numFmtId="0" fontId="3" fillId="3" borderId="0" xfId="1054" applyFill="1" applyAlignment="1">
      <alignment vertical="center"/>
    </xf>
    <xf numFmtId="0" fontId="5" fillId="3" borderId="0" xfId="1054" applyFont="1" applyFill="1" applyAlignment="1">
      <alignment vertical="center"/>
    </xf>
    <xf numFmtId="166" fontId="5" fillId="2" borderId="1" xfId="1054" applyNumberFormat="1" applyFont="1" applyFill="1" applyBorder="1" applyAlignment="1">
      <alignment horizontal="center" vertical="center"/>
    </xf>
    <xf numFmtId="0" fontId="5" fillId="3" borderId="1" xfId="1054" applyFont="1" applyFill="1" applyBorder="1" applyAlignment="1">
      <alignment vertical="center" wrapText="1"/>
    </xf>
    <xf numFmtId="0" fontId="5" fillId="3" borderId="1" xfId="1054" applyFont="1" applyFill="1" applyBorder="1" applyAlignment="1">
      <alignment vertical="top" wrapText="1"/>
    </xf>
    <xf numFmtId="1" fontId="18" fillId="36" borderId="1" xfId="843" applyNumberFormat="1" applyFont="1" applyFill="1" applyBorder="1" applyAlignment="1">
      <alignment vertical="center" wrapText="1"/>
    </xf>
    <xf numFmtId="1" fontId="18" fillId="36" borderId="6" xfId="843" applyNumberFormat="1" applyFont="1" applyFill="1" applyBorder="1" applyAlignment="1">
      <alignment vertical="center" wrapText="1"/>
    </xf>
    <xf numFmtId="0" fontId="18" fillId="36" borderId="1" xfId="843" applyFont="1" applyFill="1" applyBorder="1" applyAlignment="1">
      <alignment horizontal="center" vertical="center" wrapText="1"/>
    </xf>
    <xf numFmtId="166" fontId="18" fillId="36" borderId="1" xfId="843" applyNumberFormat="1" applyFont="1" applyFill="1" applyBorder="1" applyAlignment="1">
      <alignment horizontal="center" vertical="center" wrapText="1"/>
    </xf>
    <xf numFmtId="0" fontId="18" fillId="36" borderId="1" xfId="843" applyFont="1" applyFill="1" applyBorder="1" applyAlignment="1">
      <alignment vertical="top" wrapText="1"/>
    </xf>
    <xf numFmtId="166" fontId="56" fillId="3" borderId="20" xfId="843" applyNumberFormat="1" applyFont="1" applyFill="1" applyBorder="1" applyAlignment="1">
      <alignment vertical="center" wrapText="1"/>
    </xf>
    <xf numFmtId="166" fontId="56" fillId="3" borderId="1" xfId="843" applyNumberFormat="1" applyFont="1" applyFill="1" applyBorder="1" applyAlignment="1">
      <alignment vertical="center" wrapText="1"/>
    </xf>
    <xf numFmtId="1" fontId="18" fillId="3" borderId="6" xfId="843" applyNumberFormat="1" applyFont="1" applyFill="1" applyBorder="1" applyAlignment="1">
      <alignment vertical="center" wrapText="1"/>
    </xf>
    <xf numFmtId="169" fontId="56" fillId="3" borderId="1" xfId="1055" applyNumberFormat="1" applyFont="1" applyFill="1" applyBorder="1" applyAlignment="1">
      <alignment horizontal="center" vertical="center" wrapText="1"/>
    </xf>
    <xf numFmtId="169" fontId="18" fillId="3" borderId="1" xfId="1055" applyNumberFormat="1" applyFont="1" applyFill="1" applyBorder="1" applyAlignment="1">
      <alignment horizontal="center" vertical="center" wrapText="1"/>
    </xf>
    <xf numFmtId="0" fontId="56" fillId="3" borderId="1" xfId="843" applyFont="1" applyFill="1" applyBorder="1" applyAlignment="1">
      <alignment horizontal="center" vertical="center" wrapText="1"/>
    </xf>
    <xf numFmtId="0" fontId="56" fillId="3" borderId="20" xfId="843" applyFont="1" applyFill="1" applyBorder="1" applyAlignment="1">
      <alignment horizontal="center" vertical="center" wrapText="1"/>
    </xf>
    <xf numFmtId="0" fontId="5" fillId="3" borderId="0" xfId="1054" applyFont="1" applyFill="1" applyAlignment="1">
      <alignment horizontal="right"/>
    </xf>
    <xf numFmtId="0" fontId="18" fillId="3" borderId="0" xfId="843" applyFont="1" applyFill="1" applyAlignment="1">
      <alignment horizontal="center" wrapText="1"/>
    </xf>
    <xf numFmtId="0" fontId="16" fillId="0" borderId="0" xfId="1054" applyFont="1"/>
    <xf numFmtId="0" fontId="3" fillId="0" borderId="0" xfId="1054"/>
    <xf numFmtId="0" fontId="60" fillId="0" borderId="0" xfId="1054" applyFont="1"/>
    <xf numFmtId="3" fontId="16" fillId="3" borderId="1" xfId="1054" applyNumberFormat="1" applyFont="1" applyFill="1" applyBorder="1" applyAlignment="1">
      <alignment horizontal="center" vertical="center" wrapText="1"/>
    </xf>
    <xf numFmtId="3" fontId="16" fillId="3" borderId="22" xfId="1054" applyNumberFormat="1" applyFont="1" applyFill="1" applyBorder="1" applyAlignment="1">
      <alignment horizontal="center" vertical="center" wrapText="1"/>
    </xf>
    <xf numFmtId="0" fontId="61" fillId="0" borderId="0" xfId="1054" applyFont="1"/>
    <xf numFmtId="0" fontId="16" fillId="0" borderId="1" xfId="1054" applyFont="1" applyBorder="1" applyAlignment="1">
      <alignment vertical="center"/>
    </xf>
    <xf numFmtId="3" fontId="16" fillId="0" borderId="1" xfId="1054" applyNumberFormat="1" applyFont="1" applyBorder="1" applyAlignment="1">
      <alignment horizontal="center" vertical="center"/>
    </xf>
    <xf numFmtId="0" fontId="16" fillId="0" borderId="1" xfId="1054" applyFont="1" applyBorder="1" applyAlignment="1">
      <alignment horizontal="center" vertical="center"/>
    </xf>
    <xf numFmtId="3" fontId="16" fillId="0" borderId="1" xfId="1054" applyNumberFormat="1" applyFont="1" applyBorder="1" applyAlignment="1">
      <alignment vertical="center"/>
    </xf>
    <xf numFmtId="4" fontId="16" fillId="0" borderId="1" xfId="1054" applyNumberFormat="1" applyFont="1" applyBorder="1" applyAlignment="1">
      <alignment horizontal="center" vertical="center"/>
    </xf>
    <xf numFmtId="165" fontId="16" fillId="0" borderId="1" xfId="1054" applyNumberFormat="1" applyFont="1" applyBorder="1" applyAlignment="1">
      <alignment horizontal="center" vertical="center"/>
    </xf>
    <xf numFmtId="166" fontId="16" fillId="0" borderId="1" xfId="1054" applyNumberFormat="1" applyFont="1" applyBorder="1" applyAlignment="1">
      <alignment horizontal="center" vertical="center"/>
    </xf>
    <xf numFmtId="0" fontId="5" fillId="3" borderId="1" xfId="1054" applyFont="1" applyFill="1" applyBorder="1" applyAlignment="1">
      <alignment horizontal="center"/>
    </xf>
    <xf numFmtId="0" fontId="56" fillId="3" borderId="1" xfId="843" applyFont="1" applyFill="1" applyBorder="1" applyAlignment="1">
      <alignment horizontal="center" vertical="center" wrapText="1"/>
    </xf>
    <xf numFmtId="0" fontId="18" fillId="3" borderId="0" xfId="843" applyFont="1" applyFill="1" applyAlignment="1">
      <alignment horizontal="center" wrapText="1"/>
    </xf>
    <xf numFmtId="0" fontId="5" fillId="3" borderId="1" xfId="1054" applyFont="1" applyFill="1" applyBorder="1" applyAlignment="1">
      <alignment horizontal="center" vertical="center" wrapText="1"/>
    </xf>
    <xf numFmtId="0" fontId="5" fillId="0" borderId="0" xfId="1054" applyFont="1" applyFill="1"/>
    <xf numFmtId="166" fontId="5" fillId="0" borderId="0" xfId="1054" applyNumberFormat="1" applyFont="1" applyFill="1"/>
    <xf numFmtId="0" fontId="12" fillId="0" borderId="0" xfId="851" applyFont="1"/>
    <xf numFmtId="0" fontId="46" fillId="0" borderId="0" xfId="851"/>
    <xf numFmtId="0" fontId="11" fillId="3" borderId="1" xfId="1057" applyFont="1" applyFill="1" applyBorder="1" applyAlignment="1">
      <alignment horizontal="center" vertical="center" wrapText="1"/>
    </xf>
    <xf numFmtId="0" fontId="11" fillId="37" borderId="1" xfId="1057" applyFont="1" applyFill="1" applyBorder="1" applyAlignment="1">
      <alignment horizontal="center" vertical="center" wrapText="1"/>
    </xf>
    <xf numFmtId="0" fontId="20" fillId="37" borderId="1" xfId="1057" applyFont="1" applyFill="1" applyBorder="1" applyAlignment="1">
      <alignment horizontal="center" vertical="center" wrapText="1"/>
    </xf>
    <xf numFmtId="0" fontId="12" fillId="0" borderId="1" xfId="1057" applyFont="1" applyBorder="1" applyAlignment="1">
      <alignment horizontal="center" vertical="center" wrapText="1"/>
    </xf>
    <xf numFmtId="0" fontId="12" fillId="0" borderId="1" xfId="1057" applyFont="1" applyBorder="1" applyAlignment="1">
      <alignment horizontal="left" vertical="center" wrapText="1"/>
    </xf>
    <xf numFmtId="0" fontId="12" fillId="3" borderId="1" xfId="851" applyFont="1" applyFill="1" applyBorder="1" applyAlignment="1">
      <alignment horizontal="center" vertical="center"/>
    </xf>
    <xf numFmtId="0" fontId="12" fillId="3" borderId="1" xfId="1057" applyFont="1" applyFill="1" applyBorder="1" applyAlignment="1">
      <alignment horizontal="center" vertical="center" wrapText="1"/>
    </xf>
    <xf numFmtId="4" fontId="12" fillId="3" borderId="1" xfId="1057" applyNumberFormat="1" applyFont="1" applyFill="1" applyBorder="1" applyAlignment="1">
      <alignment horizontal="center" vertical="center" wrapText="1"/>
    </xf>
    <xf numFmtId="165" fontId="12" fillId="3" borderId="1" xfId="1057" applyNumberFormat="1" applyFont="1" applyFill="1" applyBorder="1" applyAlignment="1">
      <alignment horizontal="center" vertical="center" wrapText="1"/>
    </xf>
    <xf numFmtId="165" fontId="12" fillId="37" borderId="1" xfId="851" applyNumberFormat="1" applyFont="1" applyFill="1" applyBorder="1" applyAlignment="1">
      <alignment horizontal="center" vertical="center"/>
    </xf>
    <xf numFmtId="0" fontId="12" fillId="3" borderId="1" xfId="851" applyFont="1" applyFill="1" applyBorder="1"/>
    <xf numFmtId="0" fontId="12" fillId="3" borderId="1" xfId="1057" applyFont="1" applyFill="1" applyBorder="1" applyAlignment="1">
      <alignment wrapText="1"/>
    </xf>
    <xf numFmtId="2" fontId="12" fillId="3" borderId="1" xfId="1057" applyNumberFormat="1" applyFont="1" applyFill="1" applyBorder="1" applyAlignment="1">
      <alignment wrapText="1"/>
    </xf>
    <xf numFmtId="0" fontId="12" fillId="37" borderId="1" xfId="851" applyFont="1" applyFill="1" applyBorder="1"/>
    <xf numFmtId="0" fontId="19" fillId="0" borderId="1" xfId="856" applyFont="1" applyFill="1" applyBorder="1" applyAlignment="1">
      <alignment horizontal="center" vertical="center"/>
    </xf>
    <xf numFmtId="0" fontId="12" fillId="3" borderId="1" xfId="1057" applyFont="1" applyFill="1" applyBorder="1" applyAlignment="1">
      <alignment horizontal="center" vertical="center"/>
    </xf>
    <xf numFmtId="2" fontId="19" fillId="0" borderId="1" xfId="856" applyNumberFormat="1" applyFont="1" applyFill="1" applyBorder="1" applyAlignment="1">
      <alignment horizontal="center" vertical="center"/>
    </xf>
    <xf numFmtId="165" fontId="12" fillId="3" borderId="1" xfId="1057" applyNumberFormat="1" applyFont="1" applyFill="1" applyBorder="1" applyAlignment="1">
      <alignment horizontal="center" vertical="center"/>
    </xf>
    <xf numFmtId="165" fontId="12" fillId="3" borderId="1" xfId="851" applyNumberFormat="1" applyFont="1" applyFill="1" applyBorder="1" applyAlignment="1">
      <alignment horizontal="center" vertical="center"/>
    </xf>
    <xf numFmtId="165" fontId="11" fillId="3" borderId="1" xfId="851" applyNumberFormat="1" applyFont="1" applyFill="1" applyBorder="1" applyAlignment="1">
      <alignment horizontal="center" vertical="center"/>
    </xf>
    <xf numFmtId="165" fontId="12" fillId="0" borderId="1" xfId="85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1" fillId="3" borderId="1" xfId="851" applyFont="1" applyFill="1" applyBorder="1" applyAlignment="1">
      <alignment horizontal="center" vertical="center"/>
    </xf>
    <xf numFmtId="0" fontId="11" fillId="3" borderId="1" xfId="1057" applyFont="1" applyFill="1" applyBorder="1" applyAlignment="1">
      <alignment horizontal="left" vertical="center" wrapText="1"/>
    </xf>
    <xf numFmtId="165" fontId="11" fillId="37" borderId="1" xfId="851" applyNumberFormat="1" applyFont="1" applyFill="1" applyBorder="1" applyAlignment="1">
      <alignment horizontal="center" vertical="center"/>
    </xf>
    <xf numFmtId="0" fontId="11" fillId="9" borderId="1" xfId="851" applyFont="1" applyFill="1" applyBorder="1" applyAlignment="1">
      <alignment horizontal="center" vertical="center"/>
    </xf>
    <xf numFmtId="165" fontId="11" fillId="9" borderId="1" xfId="851" applyNumberFormat="1" applyFont="1" applyFill="1" applyBorder="1" applyAlignment="1">
      <alignment horizontal="center" vertical="center"/>
    </xf>
    <xf numFmtId="0" fontId="12" fillId="3" borderId="0" xfId="851" applyFont="1" applyFill="1"/>
    <xf numFmtId="0" fontId="46" fillId="3" borderId="0" xfId="851" applyFill="1"/>
    <xf numFmtId="0" fontId="12" fillId="0" borderId="1" xfId="851" applyFont="1" applyBorder="1" applyAlignment="1">
      <alignment horizontal="center"/>
    </xf>
    <xf numFmtId="0" fontId="12" fillId="3" borderId="1" xfId="1058" applyFont="1" applyFill="1" applyBorder="1" applyAlignment="1">
      <alignment horizontal="left" vertical="center" wrapText="1"/>
    </xf>
    <xf numFmtId="0" fontId="12" fillId="0" borderId="6" xfId="851" applyFont="1" applyBorder="1" applyAlignment="1">
      <alignment horizontal="center" vertical="center"/>
    </xf>
    <xf numFmtId="0" fontId="12" fillId="0" borderId="1" xfId="851" applyFont="1" applyBorder="1" applyAlignment="1">
      <alignment vertical="center"/>
    </xf>
    <xf numFmtId="0" fontId="12" fillId="0" borderId="1" xfId="851" applyFont="1" applyBorder="1"/>
    <xf numFmtId="0" fontId="11" fillId="0" borderId="1" xfId="85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6" xfId="851" applyFont="1" applyBorder="1" applyAlignment="1">
      <alignment horizontal="center" vertical="center"/>
    </xf>
    <xf numFmtId="0" fontId="11" fillId="0" borderId="1" xfId="851" applyFont="1" applyBorder="1" applyAlignment="1">
      <alignment vertical="center"/>
    </xf>
    <xf numFmtId="165" fontId="11" fillId="0" borderId="6" xfId="851" applyNumberFormat="1" applyFont="1" applyBorder="1" applyAlignment="1">
      <alignment horizontal="center" vertical="center"/>
    </xf>
    <xf numFmtId="165" fontId="11" fillId="37" borderId="6" xfId="851" applyNumberFormat="1" applyFont="1" applyFill="1" applyBorder="1" applyAlignment="1">
      <alignment horizontal="center" vertical="center"/>
    </xf>
    <xf numFmtId="0" fontId="11" fillId="0" borderId="1" xfId="851" applyFont="1" applyBorder="1"/>
    <xf numFmtId="0" fontId="11" fillId="37" borderId="1" xfId="851" applyFont="1" applyFill="1" applyBorder="1"/>
    <xf numFmtId="165" fontId="11" fillId="0" borderId="1" xfId="851" applyNumberFormat="1" applyFont="1" applyBorder="1" applyAlignment="1">
      <alignment horizontal="center" vertical="center"/>
    </xf>
    <xf numFmtId="0" fontId="11" fillId="0" borderId="0" xfId="851" applyFont="1"/>
    <xf numFmtId="0" fontId="63" fillId="0" borderId="0" xfId="851" applyFont="1"/>
    <xf numFmtId="0" fontId="11" fillId="3" borderId="1" xfId="1058" applyFont="1" applyFill="1" applyBorder="1" applyAlignment="1">
      <alignment horizontal="left" vertical="center" wrapText="1"/>
    </xf>
    <xf numFmtId="4" fontId="11" fillId="3" borderId="1" xfId="1057" applyNumberFormat="1" applyFont="1" applyFill="1" applyBorder="1" applyAlignment="1">
      <alignment horizontal="center" vertical="center" wrapText="1"/>
    </xf>
    <xf numFmtId="165" fontId="11" fillId="3" borderId="1" xfId="1057" applyNumberFormat="1" applyFont="1" applyFill="1" applyBorder="1" applyAlignment="1">
      <alignment horizontal="center" vertical="center" wrapText="1"/>
    </xf>
    <xf numFmtId="0" fontId="20" fillId="0" borderId="1" xfId="856" applyFont="1" applyFill="1" applyBorder="1" applyAlignment="1">
      <alignment horizontal="center" vertical="center"/>
    </xf>
    <xf numFmtId="0" fontId="11" fillId="3" borderId="1" xfId="1057" applyFont="1" applyFill="1" applyBorder="1" applyAlignment="1">
      <alignment horizontal="center" vertical="center"/>
    </xf>
    <xf numFmtId="2" fontId="20" fillId="0" borderId="1" xfId="856" applyNumberFormat="1" applyFont="1" applyFill="1" applyBorder="1" applyAlignment="1">
      <alignment horizontal="center" vertical="center"/>
    </xf>
    <xf numFmtId="165" fontId="11" fillId="3" borderId="1" xfId="1057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wrapText="1"/>
    </xf>
    <xf numFmtId="0" fontId="64" fillId="3" borderId="1" xfId="0" applyFont="1" applyFill="1" applyBorder="1" applyAlignment="1">
      <alignment wrapText="1"/>
    </xf>
    <xf numFmtId="0" fontId="11" fillId="0" borderId="6" xfId="851" applyFont="1" applyBorder="1" applyAlignment="1">
      <alignment horizontal="center"/>
    </xf>
    <xf numFmtId="170" fontId="11" fillId="0" borderId="1" xfId="1059" applyNumberFormat="1" applyFont="1" applyBorder="1" applyAlignment="1">
      <alignment horizontal="center"/>
    </xf>
    <xf numFmtId="170" fontId="11" fillId="37" borderId="1" xfId="1059" applyNumberFormat="1" applyFont="1" applyFill="1" applyBorder="1" applyAlignment="1">
      <alignment horizontal="center"/>
    </xf>
    <xf numFmtId="171" fontId="11" fillId="9" borderId="1" xfId="851" applyNumberFormat="1" applyFont="1" applyFill="1" applyBorder="1" applyAlignment="1">
      <alignment horizontal="center" vertical="center"/>
    </xf>
    <xf numFmtId="0" fontId="11" fillId="0" borderId="1" xfId="0" applyFont="1" applyBorder="1"/>
    <xf numFmtId="166" fontId="11" fillId="0" borderId="6" xfId="851" applyNumberFormat="1" applyFont="1" applyBorder="1" applyAlignment="1">
      <alignment horizontal="center"/>
    </xf>
    <xf numFmtId="170" fontId="11" fillId="0" borderId="6" xfId="1059" applyNumberFormat="1" applyFont="1" applyBorder="1" applyAlignment="1">
      <alignment horizontal="center"/>
    </xf>
    <xf numFmtId="170" fontId="11" fillId="37" borderId="6" xfId="1059" applyNumberFormat="1" applyFont="1" applyFill="1" applyBorder="1" applyAlignment="1">
      <alignment horizontal="center"/>
    </xf>
    <xf numFmtId="166" fontId="11" fillId="37" borderId="6" xfId="851" applyNumberFormat="1" applyFont="1" applyFill="1" applyBorder="1" applyAlignment="1">
      <alignment horizontal="center"/>
    </xf>
    <xf numFmtId="166" fontId="11" fillId="9" borderId="1" xfId="851" applyNumberFormat="1" applyFont="1" applyFill="1" applyBorder="1" applyAlignment="1">
      <alignment horizontal="center" vertical="center"/>
    </xf>
    <xf numFmtId="166" fontId="18" fillId="3" borderId="1" xfId="1055" applyNumberFormat="1" applyFont="1" applyFill="1" applyBorder="1" applyAlignment="1">
      <alignment horizontal="center" vertical="center" wrapText="1"/>
    </xf>
    <xf numFmtId="166" fontId="55" fillId="3" borderId="0" xfId="1054" applyNumberFormat="1" applyFont="1" applyFill="1" applyBorder="1" applyAlignment="1">
      <alignment horizontal="center"/>
    </xf>
    <xf numFmtId="0" fontId="5" fillId="3" borderId="0" xfId="1054" applyFont="1" applyFill="1" applyAlignment="1">
      <alignment horizontal="left"/>
    </xf>
    <xf numFmtId="0" fontId="55" fillId="37" borderId="1" xfId="1054" applyFont="1" applyFill="1" applyBorder="1" applyAlignment="1">
      <alignment horizontal="left"/>
    </xf>
    <xf numFmtId="166" fontId="55" fillId="37" borderId="1" xfId="1054" applyNumberFormat="1" applyFont="1" applyFill="1" applyBorder="1" applyAlignment="1">
      <alignment horizontal="center"/>
    </xf>
    <xf numFmtId="169" fontId="18" fillId="37" borderId="1" xfId="1055" applyNumberFormat="1" applyFont="1" applyFill="1" applyBorder="1" applyAlignment="1">
      <alignment horizontal="center" vertical="center" wrapText="1"/>
    </xf>
    <xf numFmtId="0" fontId="55" fillId="3" borderId="0" xfId="1054" applyFont="1" applyFill="1"/>
    <xf numFmtId="0" fontId="54" fillId="3" borderId="0" xfId="1054" applyFont="1" applyFill="1"/>
    <xf numFmtId="0" fontId="55" fillId="3" borderId="1" xfId="1054" applyFont="1" applyFill="1" applyBorder="1" applyAlignment="1">
      <alignment horizontal="center" vertical="center"/>
    </xf>
    <xf numFmtId="0" fontId="55" fillId="3" borderId="1" xfId="1054" applyFont="1" applyFill="1" applyBorder="1" applyAlignment="1">
      <alignment horizontal="left"/>
    </xf>
    <xf numFmtId="0" fontId="18" fillId="3" borderId="1" xfId="843" applyFont="1" applyFill="1" applyBorder="1" applyAlignment="1">
      <alignment vertical="center" wrapText="1"/>
    </xf>
    <xf numFmtId="1" fontId="18" fillId="3" borderId="1" xfId="843" applyNumberFormat="1" applyFont="1" applyFill="1" applyBorder="1" applyAlignment="1">
      <alignment vertical="center" wrapText="1"/>
    </xf>
    <xf numFmtId="1" fontId="18" fillId="3" borderId="20" xfId="843" applyNumberFormat="1" applyFont="1" applyFill="1" applyBorder="1" applyAlignment="1">
      <alignment vertical="center" wrapText="1"/>
    </xf>
    <xf numFmtId="166" fontId="5" fillId="3" borderId="0" xfId="1054" applyNumberFormat="1" applyFont="1" applyFill="1"/>
    <xf numFmtId="0" fontId="55" fillId="37" borderId="1" xfId="1054" applyFont="1" applyFill="1" applyBorder="1" applyAlignment="1">
      <alignment horizontal="center"/>
    </xf>
    <xf numFmtId="1" fontId="18" fillId="37" borderId="1" xfId="843" applyNumberFormat="1" applyFont="1" applyFill="1" applyBorder="1" applyAlignment="1">
      <alignment horizontal="center" vertical="center" wrapText="1"/>
    </xf>
    <xf numFmtId="169" fontId="55" fillId="37" borderId="1" xfId="1" applyNumberFormat="1" applyFont="1" applyFill="1" applyBorder="1" applyAlignment="1">
      <alignment horizontal="right"/>
    </xf>
    <xf numFmtId="0" fontId="55" fillId="37" borderId="0" xfId="1054" applyFont="1" applyFill="1"/>
    <xf numFmtId="0" fontId="54" fillId="37" borderId="0" xfId="1054" applyFont="1" applyFill="1"/>
    <xf numFmtId="0" fontId="5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" xfId="843" applyFont="1" applyBorder="1" applyAlignment="1">
      <alignment horizontal="center" vertical="center" wrapText="1"/>
    </xf>
    <xf numFmtId="0" fontId="5" fillId="3" borderId="1" xfId="0" applyFont="1" applyFill="1" applyBorder="1"/>
    <xf numFmtId="172" fontId="5" fillId="3" borderId="1" xfId="1" applyNumberFormat="1" applyFont="1" applyFill="1" applyBorder="1" applyAlignment="1">
      <alignment horizontal="center"/>
    </xf>
    <xf numFmtId="172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169" fontId="5" fillId="3" borderId="5" xfId="1" applyNumberFormat="1" applyFont="1" applyFill="1" applyBorder="1"/>
    <xf numFmtId="164" fontId="5" fillId="37" borderId="1" xfId="0" applyNumberFormat="1" applyFont="1" applyFill="1" applyBorder="1"/>
    <xf numFmtId="169" fontId="5" fillId="3" borderId="1" xfId="1" applyNumberFormat="1" applyFont="1" applyFill="1" applyBorder="1" applyAlignment="1">
      <alignment horizontal="center"/>
    </xf>
    <xf numFmtId="9" fontId="5" fillId="3" borderId="0" xfId="1056" applyFont="1" applyFill="1" applyAlignment="1">
      <alignment horizontal="center"/>
    </xf>
    <xf numFmtId="0" fontId="5" fillId="3" borderId="0" xfId="0" applyFont="1" applyFill="1"/>
    <xf numFmtId="0" fontId="56" fillId="3" borderId="1" xfId="0" applyFont="1" applyFill="1" applyBorder="1"/>
    <xf numFmtId="172" fontId="56" fillId="3" borderId="1" xfId="0" applyNumberFormat="1" applyFont="1" applyFill="1" applyBorder="1"/>
    <xf numFmtId="164" fontId="56" fillId="3" borderId="1" xfId="1" applyNumberFormat="1" applyFont="1" applyFill="1" applyBorder="1" applyAlignment="1">
      <alignment horizontal="center"/>
    </xf>
    <xf numFmtId="164" fontId="56" fillId="3" borderId="1" xfId="0" applyNumberFormat="1" applyFont="1" applyFill="1" applyBorder="1"/>
    <xf numFmtId="164" fontId="56" fillId="3" borderId="5" xfId="1" applyNumberFormat="1" applyFont="1" applyFill="1" applyBorder="1"/>
    <xf numFmtId="164" fontId="56" fillId="37" borderId="1" xfId="0" applyNumberFormat="1" applyFont="1" applyFill="1" applyBorder="1"/>
    <xf numFmtId="169" fontId="56" fillId="3" borderId="5" xfId="1" applyNumberFormat="1" applyFont="1" applyFill="1" applyBorder="1"/>
    <xf numFmtId="172" fontId="56" fillId="3" borderId="1" xfId="1" applyNumberFormat="1" applyFont="1" applyFill="1" applyBorder="1" applyAlignment="1">
      <alignment horizontal="center"/>
    </xf>
    <xf numFmtId="169" fontId="56" fillId="3" borderId="1" xfId="1" applyNumberFormat="1" applyFont="1" applyFill="1" applyBorder="1" applyAlignment="1">
      <alignment horizontal="center"/>
    </xf>
    <xf numFmtId="9" fontId="56" fillId="3" borderId="0" xfId="1056" applyFont="1" applyFill="1" applyAlignment="1">
      <alignment horizontal="center"/>
    </xf>
    <xf numFmtId="0" fontId="56" fillId="3" borderId="0" xfId="0" applyFont="1" applyFill="1"/>
    <xf numFmtId="164" fontId="5" fillId="3" borderId="5" xfId="1" applyNumberFormat="1" applyFont="1" applyFill="1" applyBorder="1"/>
    <xf numFmtId="0" fontId="5" fillId="0" borderId="1" xfId="0" applyFont="1" applyBorder="1"/>
    <xf numFmtId="0" fontId="5" fillId="37" borderId="1" xfId="0" applyFont="1" applyFill="1" applyBorder="1"/>
    <xf numFmtId="172" fontId="5" fillId="37" borderId="1" xfId="1" applyNumberFormat="1" applyFont="1" applyFill="1" applyBorder="1" applyAlignment="1">
      <alignment horizontal="center"/>
    </xf>
    <xf numFmtId="172" fontId="5" fillId="37" borderId="1" xfId="0" applyNumberFormat="1" applyFont="1" applyFill="1" applyBorder="1"/>
    <xf numFmtId="164" fontId="5" fillId="37" borderId="1" xfId="1" applyNumberFormat="1" applyFont="1" applyFill="1" applyBorder="1" applyAlignment="1">
      <alignment horizontal="center"/>
    </xf>
    <xf numFmtId="164" fontId="5" fillId="37" borderId="1" xfId="1" applyNumberFormat="1" applyFont="1" applyFill="1" applyBorder="1"/>
    <xf numFmtId="169" fontId="5" fillId="37" borderId="1" xfId="1" applyNumberFormat="1" applyFont="1" applyFill="1" applyBorder="1" applyAlignment="1">
      <alignment horizontal="center"/>
    </xf>
    <xf numFmtId="9" fontId="5" fillId="37" borderId="0" xfId="1056" applyFont="1" applyFill="1" applyAlignment="1">
      <alignment horizontal="center"/>
    </xf>
    <xf numFmtId="0" fontId="5" fillId="37" borderId="0" xfId="0" applyFont="1" applyFill="1"/>
    <xf numFmtId="9" fontId="5" fillId="0" borderId="0" xfId="1056" applyFont="1"/>
    <xf numFmtId="172" fontId="5" fillId="0" borderId="0" xfId="0" applyNumberFormat="1" applyFont="1"/>
    <xf numFmtId="169" fontId="55" fillId="37" borderId="1" xfId="1" applyNumberFormat="1" applyFont="1" applyFill="1" applyBorder="1" applyAlignment="1">
      <alignment horizontal="center"/>
    </xf>
    <xf numFmtId="171" fontId="55" fillId="37" borderId="1" xfId="1054" applyNumberFormat="1" applyFont="1" applyFill="1" applyBorder="1" applyAlignment="1">
      <alignment horizontal="center"/>
    </xf>
    <xf numFmtId="172" fontId="55" fillId="37" borderId="1" xfId="1" applyNumberFormat="1" applyFont="1" applyFill="1" applyBorder="1" applyAlignment="1">
      <alignment horizontal="center"/>
    </xf>
    <xf numFmtId="171" fontId="55" fillId="37" borderId="1" xfId="1054" applyNumberFormat="1" applyFont="1" applyFill="1" applyBorder="1" applyAlignment="1">
      <alignment horizontal="center" vertical="center"/>
    </xf>
    <xf numFmtId="0" fontId="5" fillId="37" borderId="1" xfId="1054" applyFont="1" applyFill="1" applyBorder="1" applyAlignment="1">
      <alignment horizontal="center" vertical="center"/>
    </xf>
    <xf numFmtId="0" fontId="55" fillId="3" borderId="0" xfId="1054" applyFont="1" applyFill="1" applyBorder="1" applyAlignment="1">
      <alignment horizontal="right"/>
    </xf>
    <xf numFmtId="171" fontId="55" fillId="3" borderId="0" xfId="1054" applyNumberFormat="1" applyFont="1" applyFill="1" applyBorder="1" applyAlignment="1">
      <alignment horizontal="center" vertical="center"/>
    </xf>
    <xf numFmtId="171" fontId="55" fillId="3" borderId="0" xfId="1054" applyNumberFormat="1" applyFont="1" applyFill="1" applyBorder="1" applyAlignment="1">
      <alignment horizontal="center"/>
    </xf>
    <xf numFmtId="0" fontId="55" fillId="3" borderId="29" xfId="1054" applyFont="1" applyFill="1" applyBorder="1" applyAlignment="1">
      <alignment horizontal="right"/>
    </xf>
    <xf numFmtId="169" fontId="5" fillId="3" borderId="0" xfId="1054" applyNumberFormat="1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173" fontId="5" fillId="3" borderId="1" xfId="1056" applyNumberFormat="1" applyFont="1" applyFill="1" applyBorder="1" applyAlignment="1">
      <alignment horizontal="center"/>
    </xf>
    <xf numFmtId="173" fontId="56" fillId="3" borderId="1" xfId="1056" applyNumberFormat="1" applyFont="1" applyFill="1" applyBorder="1" applyAlignment="1">
      <alignment horizontal="center"/>
    </xf>
    <xf numFmtId="173" fontId="5" fillId="0" borderId="0" xfId="1056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9" fontId="5" fillId="0" borderId="1" xfId="1" applyNumberFormat="1" applyFont="1" applyBorder="1" applyAlignment="1">
      <alignment horizontal="center"/>
    </xf>
    <xf numFmtId="0" fontId="55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/>
    </xf>
    <xf numFmtId="0" fontId="55" fillId="0" borderId="1" xfId="0" applyFont="1" applyBorder="1"/>
    <xf numFmtId="169" fontId="55" fillId="0" borderId="1" xfId="1" applyNumberFormat="1" applyFont="1" applyBorder="1" applyAlignment="1">
      <alignment horizontal="center"/>
    </xf>
    <xf numFmtId="0" fontId="55" fillId="0" borderId="0" xfId="0" applyFont="1"/>
    <xf numFmtId="0" fontId="68" fillId="0" borderId="0" xfId="0" applyFont="1"/>
    <xf numFmtId="172" fontId="55" fillId="0" borderId="1" xfId="1" applyNumberFormat="1" applyFont="1" applyBorder="1" applyAlignment="1">
      <alignment horizontal="center"/>
    </xf>
    <xf numFmtId="0" fontId="6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70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74" fontId="70" fillId="0" borderId="1" xfId="0" applyNumberFormat="1" applyFont="1" applyBorder="1" applyAlignment="1">
      <alignment horizontal="center" vertical="center"/>
    </xf>
    <xf numFmtId="174" fontId="70" fillId="0" borderId="1" xfId="0" applyNumberFormat="1" applyFont="1" applyBorder="1" applyAlignment="1">
      <alignment vertical="center" wrapText="1"/>
    </xf>
    <xf numFmtId="170" fontId="70" fillId="0" borderId="1" xfId="1059" applyNumberFormat="1" applyFont="1" applyBorder="1" applyAlignment="1">
      <alignment horizontal="center" vertical="center"/>
    </xf>
    <xf numFmtId="170" fontId="70" fillId="0" borderId="1" xfId="1059" applyNumberFormat="1" applyFont="1" applyFill="1" applyBorder="1" applyAlignment="1">
      <alignment horizontal="center" vertical="center"/>
    </xf>
    <xf numFmtId="175" fontId="5" fillId="7" borderId="1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174" fontId="70" fillId="0" borderId="1" xfId="0" applyNumberFormat="1" applyFont="1" applyFill="1" applyBorder="1" applyAlignment="1">
      <alignment horizontal="center" vertical="center"/>
    </xf>
    <xf numFmtId="174" fontId="70" fillId="0" borderId="1" xfId="0" applyNumberFormat="1" applyFont="1" applyFill="1" applyBorder="1" applyAlignment="1">
      <alignment vertical="center" wrapText="1"/>
    </xf>
    <xf numFmtId="0" fontId="55" fillId="7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174" fontId="65" fillId="0" borderId="1" xfId="0" applyNumberFormat="1" applyFont="1" applyFill="1" applyBorder="1" applyAlignment="1">
      <alignment horizontal="center" vertical="center"/>
    </xf>
    <xf numFmtId="174" fontId="65" fillId="0" borderId="1" xfId="0" applyNumberFormat="1" applyFont="1" applyFill="1" applyBorder="1" applyAlignment="1">
      <alignment vertical="center" wrapText="1"/>
    </xf>
    <xf numFmtId="170" fontId="65" fillId="0" borderId="1" xfId="1059" applyNumberFormat="1" applyFont="1" applyFill="1" applyBorder="1" applyAlignment="1">
      <alignment horizontal="center" vertical="center"/>
    </xf>
    <xf numFmtId="175" fontId="16" fillId="0" borderId="0" xfId="0" applyNumberFormat="1" applyFont="1" applyBorder="1"/>
    <xf numFmtId="0" fontId="65" fillId="0" borderId="1" xfId="0" applyFont="1" applyBorder="1"/>
    <xf numFmtId="0" fontId="65" fillId="0" borderId="1" xfId="0" applyFont="1" applyBorder="1" applyAlignment="1">
      <alignment horizontal="center" vertical="center" wrapText="1"/>
    </xf>
    <xf numFmtId="0" fontId="17" fillId="0" borderId="0" xfId="0" applyFont="1"/>
    <xf numFmtId="0" fontId="65" fillId="0" borderId="1" xfId="0" applyFont="1" applyBorder="1" applyAlignment="1">
      <alignment horizontal="left" vertical="center" wrapText="1"/>
    </xf>
    <xf numFmtId="166" fontId="65" fillId="0" borderId="1" xfId="0" applyNumberFormat="1" applyFont="1" applyBorder="1" applyAlignment="1">
      <alignment horizontal="center" vertical="center"/>
    </xf>
    <xf numFmtId="166" fontId="65" fillId="0" borderId="1" xfId="1059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0" fillId="0" borderId="1" xfId="0" applyFont="1" applyBorder="1" applyAlignment="1">
      <alignment vertical="center"/>
    </xf>
    <xf numFmtId="166" fontId="70" fillId="0" borderId="1" xfId="0" applyNumberFormat="1" applyFont="1" applyBorder="1" applyAlignment="1">
      <alignment horizontal="center" vertical="center"/>
    </xf>
    <xf numFmtId="166" fontId="70" fillId="0" borderId="1" xfId="1059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66" fontId="65" fillId="2" borderId="1" xfId="0" applyNumberFormat="1" applyFont="1" applyFill="1" applyBorder="1" applyAlignment="1">
      <alignment horizontal="center" vertical="center"/>
    </xf>
    <xf numFmtId="166" fontId="65" fillId="2" borderId="1" xfId="1059" applyNumberFormat="1" applyFont="1" applyFill="1" applyBorder="1" applyAlignment="1">
      <alignment horizontal="center" vertical="center"/>
    </xf>
    <xf numFmtId="166" fontId="65" fillId="37" borderId="1" xfId="1059" applyNumberFormat="1" applyFont="1" applyFill="1" applyBorder="1" applyAlignment="1">
      <alignment horizontal="center" vertical="center"/>
    </xf>
    <xf numFmtId="170" fontId="70" fillId="3" borderId="1" xfId="1059" applyNumberFormat="1" applyFont="1" applyFill="1" applyBorder="1" applyAlignment="1">
      <alignment horizontal="center" vertical="center"/>
    </xf>
    <xf numFmtId="0" fontId="19" fillId="3" borderId="0" xfId="1060" applyFont="1" applyFill="1"/>
    <xf numFmtId="0" fontId="19" fillId="3" borderId="22" xfId="1060" applyFont="1" applyFill="1" applyBorder="1" applyAlignment="1">
      <alignment horizontal="center" vertical="center" wrapText="1"/>
    </xf>
    <xf numFmtId="0" fontId="19" fillId="3" borderId="1" xfId="1060" applyFont="1" applyFill="1" applyBorder="1" applyAlignment="1">
      <alignment horizontal="center"/>
    </xf>
    <xf numFmtId="0" fontId="19" fillId="3" borderId="1" xfId="1060" applyFont="1" applyFill="1" applyBorder="1"/>
    <xf numFmtId="0" fontId="19" fillId="3" borderId="1" xfId="1060" applyFont="1" applyFill="1" applyBorder="1" applyAlignment="1">
      <alignment wrapText="1"/>
    </xf>
    <xf numFmtId="166" fontId="19" fillId="37" borderId="1" xfId="1060" applyNumberFormat="1" applyFont="1" applyFill="1" applyBorder="1" applyAlignment="1">
      <alignment horizontal="center"/>
    </xf>
    <xf numFmtId="0" fontId="12" fillId="3" borderId="1" xfId="851" applyFont="1" applyFill="1" applyBorder="1" applyAlignment="1">
      <alignment horizontal="center"/>
    </xf>
    <xf numFmtId="1" fontId="12" fillId="3" borderId="1" xfId="851" applyNumberFormat="1" applyFont="1" applyFill="1" applyBorder="1" applyAlignment="1">
      <alignment horizontal="center"/>
    </xf>
    <xf numFmtId="176" fontId="12" fillId="3" borderId="0" xfId="851" applyNumberFormat="1" applyFont="1" applyFill="1"/>
    <xf numFmtId="176" fontId="46" fillId="0" borderId="0" xfId="851" applyNumberFormat="1"/>
    <xf numFmtId="0" fontId="19" fillId="37" borderId="1" xfId="1060" applyFont="1" applyFill="1" applyBorder="1" applyAlignment="1">
      <alignment horizontal="center"/>
    </xf>
    <xf numFmtId="0" fontId="19" fillId="3" borderId="1" xfId="1060" applyFont="1" applyFill="1" applyBorder="1" applyAlignment="1">
      <alignment horizontal="left" wrapText="1"/>
    </xf>
    <xf numFmtId="0" fontId="19" fillId="3" borderId="22" xfId="1060" applyFont="1" applyFill="1" applyBorder="1" applyAlignment="1">
      <alignment horizontal="center" wrapText="1"/>
    </xf>
    <xf numFmtId="0" fontId="19" fillId="3" borderId="1" xfId="1060" applyFont="1" applyFill="1" applyBorder="1" applyAlignment="1">
      <alignment horizontal="center" vertical="center" wrapText="1"/>
    </xf>
    <xf numFmtId="0" fontId="20" fillId="3" borderId="1" xfId="1060" applyFont="1" applyFill="1" applyBorder="1"/>
    <xf numFmtId="0" fontId="20" fillId="3" borderId="1" xfId="1060" applyFont="1" applyFill="1" applyBorder="1" applyAlignment="1">
      <alignment horizontal="center"/>
    </xf>
    <xf numFmtId="166" fontId="20" fillId="37" borderId="1" xfId="1060" applyNumberFormat="1" applyFont="1" applyFill="1" applyBorder="1" applyAlignment="1">
      <alignment horizontal="center"/>
    </xf>
    <xf numFmtId="166" fontId="20" fillId="3" borderId="1" xfId="1060" applyNumberFormat="1" applyFont="1" applyFill="1" applyBorder="1" applyAlignment="1">
      <alignment horizontal="center"/>
    </xf>
    <xf numFmtId="1" fontId="12" fillId="3" borderId="0" xfId="851" applyNumberFormat="1" applyFont="1" applyFill="1"/>
    <xf numFmtId="0" fontId="12" fillId="3" borderId="0" xfId="851" applyFont="1" applyFill="1" applyAlignment="1">
      <alignment horizontal="center"/>
    </xf>
    <xf numFmtId="166" fontId="12" fillId="3" borderId="0" xfId="851" applyNumberFormat="1" applyFont="1" applyFill="1"/>
    <xf numFmtId="0" fontId="17" fillId="37" borderId="1" xfId="1054" applyFont="1" applyFill="1" applyBorder="1" applyAlignment="1">
      <alignment horizontal="left"/>
    </xf>
    <xf numFmtId="3" fontId="17" fillId="37" borderId="1" xfId="1054" applyNumberFormat="1" applyFont="1" applyFill="1" applyBorder="1" applyAlignment="1">
      <alignment horizontal="center"/>
    </xf>
    <xf numFmtId="3" fontId="17" fillId="37" borderId="1" xfId="1054" applyNumberFormat="1" applyFont="1" applyFill="1" applyBorder="1"/>
    <xf numFmtId="3" fontId="17" fillId="37" borderId="1" xfId="1054" applyNumberFormat="1" applyFont="1" applyFill="1" applyBorder="1" applyAlignment="1">
      <alignment horizontal="center" vertical="center"/>
    </xf>
    <xf numFmtId="165" fontId="17" fillId="37" borderId="1" xfId="1054" applyNumberFormat="1" applyFont="1" applyFill="1" applyBorder="1" applyAlignment="1">
      <alignment horizontal="center" vertical="center"/>
    </xf>
    <xf numFmtId="0" fontId="16" fillId="37" borderId="0" xfId="1054" applyFont="1" applyFill="1"/>
    <xf numFmtId="0" fontId="61" fillId="37" borderId="0" xfId="1054" applyFont="1" applyFill="1"/>
    <xf numFmtId="0" fontId="12" fillId="3" borderId="0" xfId="851" applyFont="1" applyFill="1" applyAlignment="1">
      <alignment horizontal="center" vertical="center"/>
    </xf>
    <xf numFmtId="0" fontId="46" fillId="0" borderId="0" xfId="851" applyAlignment="1">
      <alignment horizontal="center" vertical="center"/>
    </xf>
    <xf numFmtId="0" fontId="73" fillId="3" borderId="0" xfId="1060" applyFont="1" applyFill="1"/>
    <xf numFmtId="0" fontId="70" fillId="3" borderId="0" xfId="851" applyFont="1" applyFill="1"/>
    <xf numFmtId="0" fontId="70" fillId="3" borderId="0" xfId="851" applyFont="1" applyFill="1" applyAlignment="1">
      <alignment horizontal="center" vertical="center"/>
    </xf>
    <xf numFmtId="0" fontId="74" fillId="0" borderId="0" xfId="851" applyFont="1"/>
    <xf numFmtId="169" fontId="70" fillId="3" borderId="0" xfId="1" applyNumberFormat="1" applyFont="1" applyFill="1" applyAlignment="1">
      <alignment horizontal="center" vertical="center"/>
    </xf>
    <xf numFmtId="169" fontId="12" fillId="3" borderId="0" xfId="1" applyNumberFormat="1" applyFont="1" applyFill="1" applyAlignment="1">
      <alignment horizontal="center" vertical="center"/>
    </xf>
    <xf numFmtId="169" fontId="46" fillId="0" borderId="0" xfId="1" applyNumberFormat="1" applyFont="1" applyAlignment="1">
      <alignment horizontal="center" vertical="center"/>
    </xf>
    <xf numFmtId="0" fontId="70" fillId="3" borderId="0" xfId="851" applyFont="1" applyFill="1" applyAlignment="1">
      <alignment horizontal="center" vertical="center" wrapText="1"/>
    </xf>
    <xf numFmtId="0" fontId="70" fillId="3" borderId="1" xfId="851" applyFont="1" applyFill="1" applyBorder="1" applyAlignment="1">
      <alignment horizontal="center" vertical="center"/>
    </xf>
    <xf numFmtId="0" fontId="70" fillId="3" borderId="1" xfId="851" applyFont="1" applyFill="1" applyBorder="1" applyAlignment="1">
      <alignment horizontal="center" vertical="center" wrapText="1"/>
    </xf>
    <xf numFmtId="169" fontId="70" fillId="3" borderId="1" xfId="1" applyNumberFormat="1" applyFont="1" applyFill="1" applyBorder="1" applyAlignment="1">
      <alignment horizontal="center" vertical="center"/>
    </xf>
    <xf numFmtId="0" fontId="70" fillId="3" borderId="2" xfId="851" applyFont="1" applyFill="1" applyBorder="1" applyAlignment="1">
      <alignment vertical="center" wrapText="1"/>
    </xf>
    <xf numFmtId="0" fontId="12" fillId="3" borderId="0" xfId="851" applyFont="1" applyFill="1" applyAlignment="1">
      <alignment horizontal="center" vertical="center" wrapText="1"/>
    </xf>
    <xf numFmtId="0" fontId="46" fillId="0" borderId="0" xfId="851" applyAlignment="1">
      <alignment horizontal="center" vertical="center" wrapText="1"/>
    </xf>
    <xf numFmtId="0" fontId="72" fillId="3" borderId="0" xfId="1060" applyFont="1" applyFill="1" applyAlignment="1"/>
    <xf numFmtId="169" fontId="70" fillId="3" borderId="1" xfId="1" applyNumberFormat="1" applyFont="1" applyFill="1" applyBorder="1" applyAlignment="1">
      <alignment horizontal="center" vertical="center" wrapText="1"/>
    </xf>
    <xf numFmtId="169" fontId="70" fillId="3" borderId="1" xfId="1" applyNumberFormat="1" applyFont="1" applyFill="1" applyBorder="1" applyAlignment="1">
      <alignment horizontal="left" vertical="center" wrapText="1"/>
    </xf>
    <xf numFmtId="0" fontId="70" fillId="3" borderId="0" xfId="851" applyFont="1" applyFill="1" applyAlignment="1">
      <alignment horizontal="left" wrapText="1"/>
    </xf>
    <xf numFmtId="0" fontId="65" fillId="3" borderId="0" xfId="851" applyFont="1" applyFill="1"/>
    <xf numFmtId="0" fontId="65" fillId="3" borderId="1" xfId="851" applyFont="1" applyFill="1" applyBorder="1" applyAlignment="1">
      <alignment horizontal="left" wrapText="1"/>
    </xf>
    <xf numFmtId="0" fontId="11" fillId="3" borderId="0" xfId="851" applyFont="1" applyFill="1"/>
    <xf numFmtId="0" fontId="65" fillId="3" borderId="0" xfId="851" applyFont="1" applyFill="1" applyAlignment="1">
      <alignment horizontal="center"/>
    </xf>
    <xf numFmtId="0" fontId="65" fillId="3" borderId="1" xfId="851" applyFont="1" applyFill="1" applyBorder="1" applyAlignment="1">
      <alignment horizontal="center"/>
    </xf>
    <xf numFmtId="169" fontId="65" fillId="3" borderId="1" xfId="851" applyNumberFormat="1" applyFont="1" applyFill="1" applyBorder="1" applyAlignment="1">
      <alignment horizontal="center"/>
    </xf>
    <xf numFmtId="0" fontId="11" fillId="3" borderId="0" xfId="851" applyFont="1" applyFill="1" applyAlignment="1">
      <alignment horizontal="center"/>
    </xf>
    <xf numFmtId="0" fontId="63" fillId="0" borderId="0" xfId="851" applyFont="1" applyAlignment="1">
      <alignment horizontal="center"/>
    </xf>
    <xf numFmtId="0" fontId="70" fillId="3" borderId="1" xfId="851" applyFont="1" applyFill="1" applyBorder="1" applyAlignment="1">
      <alignment horizontal="center"/>
    </xf>
    <xf numFmtId="169" fontId="70" fillId="3" borderId="1" xfId="1" applyNumberFormat="1" applyFont="1" applyFill="1" applyBorder="1" applyAlignment="1">
      <alignment horizontal="center"/>
    </xf>
    <xf numFmtId="169" fontId="65" fillId="3" borderId="1" xfId="1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horizontal="center" vertical="center"/>
    </xf>
    <xf numFmtId="169" fontId="55" fillId="0" borderId="1" xfId="1" applyNumberFormat="1" applyFont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center" vertical="center"/>
    </xf>
    <xf numFmtId="169" fontId="5" fillId="0" borderId="1" xfId="1" applyNumberFormat="1" applyFont="1" applyBorder="1"/>
    <xf numFmtId="0" fontId="5" fillId="0" borderId="0" xfId="0" applyFont="1" applyAlignment="1">
      <alignment horizontal="right"/>
    </xf>
    <xf numFmtId="0" fontId="16" fillId="7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7" borderId="0" xfId="0" applyFont="1" applyFill="1"/>
    <xf numFmtId="0" fontId="16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69" fontId="17" fillId="0" borderId="1" xfId="1" applyNumberFormat="1" applyFont="1" applyBorder="1" applyAlignment="1">
      <alignment horizontal="center" vertical="center" wrapText="1"/>
    </xf>
    <xf numFmtId="0" fontId="16" fillId="7" borderId="1" xfId="0" applyFont="1" applyFill="1" applyBorder="1" applyAlignment="1">
      <alignment wrapText="1"/>
    </xf>
    <xf numFmtId="169" fontId="16" fillId="7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49" fontId="23" fillId="3" borderId="1" xfId="838" applyNumberFormat="1" applyFont="1" applyFill="1" applyBorder="1" applyAlignment="1">
      <alignment horizontal="left" vertical="center" wrapText="1"/>
    </xf>
    <xf numFmtId="169" fontId="16" fillId="0" borderId="1" xfId="1" applyNumberFormat="1" applyFont="1" applyBorder="1" applyAlignment="1">
      <alignment horizontal="center" vertical="center"/>
    </xf>
    <xf numFmtId="0" fontId="17" fillId="7" borderId="0" xfId="0" applyFont="1" applyFill="1"/>
    <xf numFmtId="3" fontId="23" fillId="7" borderId="1" xfId="839" applyNumberFormat="1" applyFont="1" applyFill="1" applyBorder="1" applyAlignment="1">
      <alignment horizontal="center" vertical="center" wrapText="1"/>
    </xf>
    <xf numFmtId="3" fontId="23" fillId="7" borderId="1" xfId="0" applyNumberFormat="1" applyFont="1" applyFill="1" applyBorder="1" applyAlignment="1">
      <alignment horizontal="center" vertical="center"/>
    </xf>
    <xf numFmtId="0" fontId="0" fillId="7" borderId="0" xfId="0" applyFont="1" applyFill="1"/>
    <xf numFmtId="165" fontId="23" fillId="7" borderId="1" xfId="839" applyNumberFormat="1" applyFont="1" applyFill="1" applyBorder="1" applyAlignment="1">
      <alignment horizontal="center" vertical="center" wrapText="1"/>
    </xf>
    <xf numFmtId="0" fontId="0" fillId="0" borderId="0" xfId="0" applyFont="1"/>
    <xf numFmtId="165" fontId="23" fillId="0" borderId="1" xfId="839" applyNumberFormat="1" applyFont="1" applyFill="1" applyBorder="1" applyAlignment="1">
      <alignment horizontal="center" vertical="center" wrapText="1"/>
    </xf>
    <xf numFmtId="3" fontId="23" fillId="0" borderId="1" xfId="838" applyNumberFormat="1" applyFont="1" applyFill="1" applyBorder="1" applyAlignment="1">
      <alignment horizontal="center" vertical="center" wrapText="1"/>
    </xf>
    <xf numFmtId="3" fontId="23" fillId="0" borderId="1" xfId="839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169" fontId="17" fillId="0" borderId="5" xfId="1" applyNumberFormat="1" applyFont="1" applyBorder="1" applyAlignment="1">
      <alignment horizontal="center" vertical="center" wrapText="1"/>
    </xf>
    <xf numFmtId="169" fontId="16" fillId="7" borderId="5" xfId="1" applyNumberFormat="1" applyFont="1" applyFill="1" applyBorder="1" applyAlignment="1">
      <alignment horizontal="center" vertical="center"/>
    </xf>
    <xf numFmtId="169" fontId="16" fillId="3" borderId="5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3" borderId="30" xfId="0" applyFont="1" applyFill="1" applyBorder="1" applyAlignment="1">
      <alignment horizontal="right"/>
    </xf>
    <xf numFmtId="0" fontId="17" fillId="7" borderId="33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/>
    </xf>
    <xf numFmtId="169" fontId="17" fillId="0" borderId="33" xfId="1" applyNumberFormat="1" applyFont="1" applyBorder="1" applyAlignment="1">
      <alignment horizontal="center" vertical="center" wrapText="1"/>
    </xf>
    <xf numFmtId="169" fontId="17" fillId="0" borderId="20" xfId="1" applyNumberFormat="1" applyFont="1" applyBorder="1" applyAlignment="1">
      <alignment horizontal="center" vertical="center" wrapText="1"/>
    </xf>
    <xf numFmtId="169" fontId="17" fillId="7" borderId="33" xfId="1" applyNumberFormat="1" applyFont="1" applyFill="1" applyBorder="1" applyAlignment="1">
      <alignment horizontal="center" vertical="center"/>
    </xf>
    <xf numFmtId="169" fontId="16" fillId="7" borderId="20" xfId="1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69" fontId="17" fillId="7" borderId="34" xfId="1" applyNumberFormat="1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3" fontId="23" fillId="0" borderId="35" xfId="838" applyNumberFormat="1" applyFont="1" applyFill="1" applyBorder="1" applyAlignment="1">
      <alignment horizontal="center" vertical="center" wrapText="1"/>
    </xf>
    <xf numFmtId="3" fontId="23" fillId="0" borderId="35" xfId="839" applyNumberFormat="1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0" fontId="16" fillId="3" borderId="0" xfId="0" applyFont="1" applyFill="1"/>
    <xf numFmtId="0" fontId="0" fillId="3" borderId="0" xfId="0" applyFill="1"/>
    <xf numFmtId="171" fontId="17" fillId="3" borderId="0" xfId="0" applyNumberFormat="1" applyFont="1" applyFill="1"/>
    <xf numFmtId="0" fontId="75" fillId="0" borderId="0" xfId="851" applyFont="1"/>
    <xf numFmtId="0" fontId="12" fillId="2" borderId="1" xfId="851" applyFont="1" applyFill="1" applyBorder="1" applyAlignment="1">
      <alignment horizontal="center" vertical="center"/>
    </xf>
    <xf numFmtId="0" fontId="12" fillId="3" borderId="6" xfId="851" applyFont="1" applyFill="1" applyBorder="1" applyAlignment="1">
      <alignment horizontal="center" vertical="center"/>
    </xf>
    <xf numFmtId="0" fontId="11" fillId="3" borderId="6" xfId="85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9" fontId="56" fillId="0" borderId="1" xfId="838" applyNumberFormat="1" applyFont="1" applyFill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164" fontId="55" fillId="0" borderId="1" xfId="1" applyFont="1" applyBorder="1" applyAlignment="1">
      <alignment horizontal="center" vertical="center"/>
    </xf>
    <xf numFmtId="169" fontId="5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9" fontId="5" fillId="0" borderId="1" xfId="1" applyNumberFormat="1" applyFont="1" applyBorder="1" applyAlignment="1">
      <alignment vertical="center"/>
    </xf>
    <xf numFmtId="0" fontId="19" fillId="0" borderId="0" xfId="1078" applyFont="1" applyFill="1" applyAlignment="1">
      <alignment vertical="center"/>
    </xf>
    <xf numFmtId="0" fontId="20" fillId="0" borderId="0" xfId="1078" applyFont="1" applyFill="1" applyAlignment="1">
      <alignment vertical="center" wrapText="1"/>
    </xf>
    <xf numFmtId="0" fontId="20" fillId="0" borderId="0" xfId="1078" applyFont="1" applyFill="1" applyAlignment="1">
      <alignment horizontal="center" vertical="center"/>
    </xf>
    <xf numFmtId="0" fontId="20" fillId="0" borderId="0" xfId="1078" applyFont="1" applyFill="1" applyAlignment="1">
      <alignment vertical="center"/>
    </xf>
    <xf numFmtId="0" fontId="19" fillId="0" borderId="1" xfId="1078" applyFont="1" applyFill="1" applyBorder="1" applyAlignment="1">
      <alignment horizontal="center" vertical="center" wrapText="1"/>
    </xf>
    <xf numFmtId="0" fontId="21" fillId="0" borderId="1" xfId="1078" applyFont="1" applyFill="1" applyBorder="1" applyAlignment="1">
      <alignment horizontal="center" vertical="center" wrapText="1"/>
    </xf>
    <xf numFmtId="0" fontId="21" fillId="6" borderId="1" xfId="1078" applyFont="1" applyFill="1" applyBorder="1" applyAlignment="1">
      <alignment horizontal="center" vertical="center" wrapText="1"/>
    </xf>
    <xf numFmtId="0" fontId="21" fillId="0" borderId="0" xfId="1078" applyFont="1" applyFill="1" applyAlignment="1">
      <alignment horizontal="center" vertical="center"/>
    </xf>
    <xf numFmtId="0" fontId="22" fillId="7" borderId="1" xfId="1078" applyFont="1" applyFill="1" applyBorder="1" applyAlignment="1">
      <alignment horizontal="center" vertical="center" wrapText="1"/>
    </xf>
    <xf numFmtId="1" fontId="22" fillId="7" borderId="1" xfId="1078" applyNumberFormat="1" applyFont="1" applyFill="1" applyBorder="1" applyAlignment="1">
      <alignment horizontal="center" vertical="center" wrapText="1"/>
    </xf>
    <xf numFmtId="165" fontId="22" fillId="7" borderId="1" xfId="1078" applyNumberFormat="1" applyFont="1" applyFill="1" applyBorder="1" applyAlignment="1">
      <alignment horizontal="center" vertical="center" wrapText="1"/>
    </xf>
    <xf numFmtId="0" fontId="23" fillId="0" borderId="0" xfId="1078" applyFont="1" applyFill="1" applyAlignment="1">
      <alignment horizontal="center" vertical="center"/>
    </xf>
    <xf numFmtId="0" fontId="20" fillId="0" borderId="1" xfId="1078" applyFont="1" applyFill="1" applyBorder="1" applyAlignment="1">
      <alignment vertical="center" wrapText="1"/>
    </xf>
    <xf numFmtId="1" fontId="21" fillId="0" borderId="1" xfId="1078" applyNumberFormat="1" applyFont="1" applyFill="1" applyBorder="1" applyAlignment="1">
      <alignment horizontal="center" vertical="center" wrapText="1"/>
    </xf>
    <xf numFmtId="1" fontId="20" fillId="0" borderId="1" xfId="1078" applyNumberFormat="1" applyFont="1" applyFill="1" applyBorder="1" applyAlignment="1">
      <alignment horizontal="center" vertical="center"/>
    </xf>
    <xf numFmtId="165" fontId="20" fillId="0" borderId="1" xfId="1078" applyNumberFormat="1" applyFont="1" applyFill="1" applyBorder="1" applyAlignment="1">
      <alignment horizontal="center" vertical="center"/>
    </xf>
    <xf numFmtId="0" fontId="20" fillId="0" borderId="0" xfId="1078" applyFont="1" applyFill="1" applyBorder="1" applyAlignment="1">
      <alignment vertical="center"/>
    </xf>
    <xf numFmtId="0" fontId="24" fillId="8" borderId="1" xfId="1078" applyFont="1" applyFill="1" applyBorder="1" applyAlignment="1">
      <alignment vertical="center" wrapText="1"/>
    </xf>
    <xf numFmtId="1" fontId="22" fillId="8" borderId="1" xfId="1078" applyNumberFormat="1" applyFont="1" applyFill="1" applyBorder="1" applyAlignment="1">
      <alignment horizontal="center" vertical="center"/>
    </xf>
    <xf numFmtId="165" fontId="22" fillId="8" borderId="1" xfId="1078" applyNumberFormat="1" applyFont="1" applyFill="1" applyBorder="1" applyAlignment="1">
      <alignment horizontal="center" vertical="center"/>
    </xf>
    <xf numFmtId="1" fontId="19" fillId="3" borderId="1" xfId="1078" applyNumberFormat="1" applyFont="1" applyFill="1" applyBorder="1" applyAlignment="1">
      <alignment vertical="center" wrapText="1"/>
    </xf>
    <xf numFmtId="1" fontId="19" fillId="3" borderId="1" xfId="1078" applyNumberFormat="1" applyFont="1" applyFill="1" applyBorder="1" applyAlignment="1">
      <alignment horizontal="center" vertical="center"/>
    </xf>
    <xf numFmtId="1" fontId="23" fillId="3" borderId="1" xfId="1078" applyNumberFormat="1" applyFont="1" applyFill="1" applyBorder="1" applyAlignment="1">
      <alignment horizontal="center" vertical="center"/>
    </xf>
    <xf numFmtId="1" fontId="20" fillId="3" borderId="1" xfId="1078" applyNumberFormat="1" applyFont="1" applyFill="1" applyBorder="1" applyAlignment="1">
      <alignment horizontal="center" vertical="center"/>
    </xf>
    <xf numFmtId="165" fontId="20" fillId="3" borderId="1" xfId="1078" applyNumberFormat="1" applyFont="1" applyFill="1" applyBorder="1" applyAlignment="1">
      <alignment horizontal="center" vertical="center"/>
    </xf>
    <xf numFmtId="165" fontId="19" fillId="3" borderId="1" xfId="1078" applyNumberFormat="1" applyFont="1" applyFill="1" applyBorder="1" applyAlignment="1">
      <alignment horizontal="center" vertical="center"/>
    </xf>
    <xf numFmtId="0" fontId="25" fillId="3" borderId="1" xfId="1078" applyFont="1" applyFill="1" applyBorder="1" applyAlignment="1">
      <alignment vertical="center" wrapText="1"/>
    </xf>
    <xf numFmtId="0" fontId="25" fillId="0" borderId="1" xfId="1078" applyFont="1" applyFill="1" applyBorder="1" applyAlignment="1">
      <alignment vertical="center" wrapText="1"/>
    </xf>
    <xf numFmtId="1" fontId="24" fillId="8" borderId="1" xfId="1078" applyNumberFormat="1" applyFont="1" applyFill="1" applyBorder="1" applyAlignment="1">
      <alignment horizontal="center" vertical="center"/>
    </xf>
    <xf numFmtId="165" fontId="20" fillId="8" borderId="1" xfId="1078" applyNumberFormat="1" applyFont="1" applyFill="1" applyBorder="1" applyAlignment="1">
      <alignment horizontal="center" vertical="center"/>
    </xf>
    <xf numFmtId="165" fontId="24" fillId="8" borderId="1" xfId="1078" applyNumberFormat="1" applyFont="1" applyFill="1" applyBorder="1" applyAlignment="1">
      <alignment horizontal="center" vertical="center"/>
    </xf>
    <xf numFmtId="1" fontId="25" fillId="3" borderId="1" xfId="1078" applyNumberFormat="1" applyFont="1" applyFill="1" applyBorder="1" applyAlignment="1">
      <alignment horizontal="left" vertical="center" wrapText="1"/>
    </xf>
    <xf numFmtId="1" fontId="19" fillId="0" borderId="1" xfId="1078" applyNumberFormat="1" applyFont="1" applyFill="1" applyBorder="1" applyAlignment="1">
      <alignment horizontal="center" vertical="center"/>
    </xf>
    <xf numFmtId="0" fontId="22" fillId="0" borderId="0" xfId="1078" applyFont="1" applyFill="1" applyAlignment="1">
      <alignment vertical="center"/>
    </xf>
    <xf numFmtId="165" fontId="19" fillId="0" borderId="1" xfId="1078" applyNumberFormat="1" applyFont="1" applyFill="1" applyBorder="1" applyAlignment="1">
      <alignment horizontal="center" vertical="center"/>
    </xf>
    <xf numFmtId="0" fontId="19" fillId="0" borderId="0" xfId="1078" applyFont="1" applyFill="1" applyAlignment="1">
      <alignment vertical="center" wrapText="1"/>
    </xf>
    <xf numFmtId="0" fontId="19" fillId="0" borderId="0" xfId="1078" applyFont="1" applyFill="1" applyAlignment="1">
      <alignment horizontal="center" vertical="center"/>
    </xf>
    <xf numFmtId="0" fontId="23" fillId="0" borderId="1" xfId="1078" applyFont="1" applyFill="1" applyBorder="1" applyAlignment="1">
      <alignment vertical="center" wrapText="1"/>
    </xf>
    <xf numFmtId="0" fontId="19" fillId="0" borderId="0" xfId="1078" applyFont="1" applyFill="1" applyBorder="1" applyAlignment="1">
      <alignment horizontal="center" vertical="center" wrapText="1"/>
    </xf>
    <xf numFmtId="0" fontId="20" fillId="0" borderId="1" xfId="1078" applyFont="1" applyFill="1" applyBorder="1" applyAlignment="1">
      <alignment horizontal="center" vertical="center" wrapText="1"/>
    </xf>
    <xf numFmtId="0" fontId="19" fillId="0" borderId="1" xfId="1078" applyFont="1" applyFill="1" applyBorder="1" applyAlignment="1">
      <alignment horizontal="center" vertical="center"/>
    </xf>
    <xf numFmtId="3" fontId="19" fillId="0" borderId="1" xfId="1078" applyNumberFormat="1" applyFont="1" applyFill="1" applyBorder="1" applyAlignment="1">
      <alignment horizontal="center" vertical="center"/>
    </xf>
    <xf numFmtId="166" fontId="20" fillId="0" borderId="1" xfId="1078" applyNumberFormat="1" applyFont="1" applyFill="1" applyBorder="1" applyAlignment="1">
      <alignment horizontal="center" vertical="center"/>
    </xf>
    <xf numFmtId="167" fontId="16" fillId="0" borderId="0" xfId="1078" applyNumberFormat="1" applyFont="1" applyBorder="1" applyAlignment="1">
      <alignment horizontal="center" vertical="top" wrapText="1"/>
    </xf>
    <xf numFmtId="166" fontId="19" fillId="0" borderId="1" xfId="1078" applyNumberFormat="1" applyFont="1" applyFill="1" applyBorder="1" applyAlignment="1">
      <alignment horizontal="center" vertical="center"/>
    </xf>
    <xf numFmtId="166" fontId="19" fillId="0" borderId="0" xfId="1078" applyNumberFormat="1" applyFont="1" applyFill="1" applyBorder="1" applyAlignment="1">
      <alignment horizontal="center" vertical="center"/>
    </xf>
    <xf numFmtId="2" fontId="20" fillId="0" borderId="0" xfId="1078" applyNumberFormat="1" applyFont="1" applyFill="1" applyBorder="1" applyAlignment="1">
      <alignment horizontal="center" vertical="center"/>
    </xf>
    <xf numFmtId="166" fontId="19" fillId="0" borderId="0" xfId="1078" applyNumberFormat="1" applyFont="1" applyFill="1" applyAlignment="1">
      <alignment horizontal="center" vertical="center"/>
    </xf>
    <xf numFmtId="0" fontId="22" fillId="0" borderId="1" xfId="1078" applyFont="1" applyFill="1" applyBorder="1" applyAlignment="1">
      <alignment horizontal="center" vertical="center" wrapText="1"/>
    </xf>
    <xf numFmtId="0" fontId="20" fillId="0" borderId="1" xfId="1078" applyFont="1" applyFill="1" applyBorder="1" applyAlignment="1">
      <alignment horizontal="center" vertical="center"/>
    </xf>
    <xf numFmtId="0" fontId="23" fillId="0" borderId="0" xfId="1078" applyFont="1" applyFill="1" applyAlignment="1">
      <alignment vertical="center" wrapText="1"/>
    </xf>
    <xf numFmtId="164" fontId="5" fillId="0" borderId="0" xfId="1" applyFont="1" applyAlignment="1">
      <alignment horizontal="center" vertical="center"/>
    </xf>
    <xf numFmtId="49" fontId="56" fillId="0" borderId="0" xfId="838" applyNumberFormat="1" applyFont="1" applyFill="1" applyBorder="1" applyAlignment="1">
      <alignment vertical="center" wrapText="1"/>
    </xf>
    <xf numFmtId="49" fontId="18" fillId="0" borderId="0" xfId="838" applyNumberFormat="1" applyFont="1" applyFill="1" applyBorder="1" applyAlignment="1">
      <alignment vertical="center" wrapText="1"/>
    </xf>
    <xf numFmtId="0" fontId="72" fillId="3" borderId="0" xfId="1060" applyFont="1" applyFill="1" applyBorder="1" applyAlignment="1"/>
    <xf numFmtId="0" fontId="70" fillId="3" borderId="0" xfId="851" applyFont="1" applyFill="1" applyBorder="1" applyAlignment="1">
      <alignment vertical="center" wrapText="1"/>
    </xf>
    <xf numFmtId="0" fontId="70" fillId="3" borderId="0" xfId="851" applyFont="1" applyFill="1" applyBorder="1" applyAlignment="1">
      <alignment horizontal="center" vertical="center"/>
    </xf>
    <xf numFmtId="169" fontId="70" fillId="3" borderId="0" xfId="1" applyNumberFormat="1" applyFont="1" applyFill="1" applyBorder="1" applyAlignment="1">
      <alignment horizontal="center" vertical="center"/>
    </xf>
    <xf numFmtId="0" fontId="70" fillId="3" borderId="0" xfId="851" applyFont="1" applyFill="1" applyBorder="1"/>
    <xf numFmtId="0" fontId="70" fillId="3" borderId="2" xfId="851" applyFont="1" applyFill="1" applyBorder="1" applyAlignment="1">
      <alignment horizontal="center" vertical="center" wrapText="1"/>
    </xf>
    <xf numFmtId="0" fontId="70" fillId="3" borderId="2" xfId="851" applyFont="1" applyFill="1" applyBorder="1" applyAlignment="1">
      <alignment horizontal="right" vertical="center" wrapText="1"/>
    </xf>
    <xf numFmtId="169" fontId="70" fillId="40" borderId="1" xfId="1" applyNumberFormat="1" applyFont="1" applyFill="1" applyBorder="1" applyAlignment="1">
      <alignment horizontal="center" vertical="center"/>
    </xf>
    <xf numFmtId="169" fontId="70" fillId="40" borderId="1" xfId="1" applyNumberFormat="1" applyFont="1" applyFill="1" applyBorder="1" applyAlignment="1">
      <alignment horizontal="center"/>
    </xf>
    <xf numFmtId="169" fontId="70" fillId="40" borderId="1" xfId="1" applyNumberFormat="1" applyFont="1" applyFill="1" applyBorder="1" applyAlignment="1">
      <alignment horizontal="left" vertical="center" wrapText="1"/>
    </xf>
    <xf numFmtId="0" fontId="70" fillId="40" borderId="1" xfId="851" applyFont="1" applyFill="1" applyBorder="1" applyAlignment="1">
      <alignment horizontal="left" wrapText="1"/>
    </xf>
    <xf numFmtId="169" fontId="5" fillId="0" borderId="0" xfId="0" applyNumberFormat="1" applyFont="1" applyAlignment="1">
      <alignment horizontal="center"/>
    </xf>
    <xf numFmtId="165" fontId="16" fillId="37" borderId="1" xfId="1054" applyNumberFormat="1" applyFont="1" applyFill="1" applyBorder="1" applyAlignment="1">
      <alignment horizontal="center" vertical="center"/>
    </xf>
    <xf numFmtId="0" fontId="11" fillId="3" borderId="1" xfId="1082" applyFont="1" applyFill="1" applyBorder="1" applyAlignment="1">
      <alignment horizontal="center" vertical="center" wrapText="1"/>
    </xf>
    <xf numFmtId="0" fontId="11" fillId="37" borderId="1" xfId="1082" applyFont="1" applyFill="1" applyBorder="1" applyAlignment="1">
      <alignment horizontal="center" vertical="center" wrapText="1"/>
    </xf>
    <xf numFmtId="0" fontId="20" fillId="37" borderId="1" xfId="1082" applyFont="1" applyFill="1" applyBorder="1" applyAlignment="1">
      <alignment horizontal="center" vertical="center" wrapText="1"/>
    </xf>
    <xf numFmtId="0" fontId="12" fillId="0" borderId="1" xfId="1082" applyFont="1" applyBorder="1" applyAlignment="1">
      <alignment horizontal="center" vertical="center" wrapText="1"/>
    </xf>
    <xf numFmtId="0" fontId="12" fillId="0" borderId="1" xfId="1082" applyFont="1" applyBorder="1" applyAlignment="1">
      <alignment horizontal="left" vertical="center" wrapText="1"/>
    </xf>
    <xf numFmtId="0" fontId="12" fillId="3" borderId="1" xfId="1082" applyFont="1" applyFill="1" applyBorder="1" applyAlignment="1">
      <alignment horizontal="center" vertical="center" wrapText="1"/>
    </xf>
    <xf numFmtId="4" fontId="12" fillId="3" borderId="1" xfId="1082" applyNumberFormat="1" applyFont="1" applyFill="1" applyBorder="1" applyAlignment="1">
      <alignment horizontal="center" vertical="center" wrapText="1"/>
    </xf>
    <xf numFmtId="165" fontId="12" fillId="3" borderId="1" xfId="1082" applyNumberFormat="1" applyFont="1" applyFill="1" applyBorder="1" applyAlignment="1">
      <alignment horizontal="center" vertical="center" wrapText="1"/>
    </xf>
    <xf numFmtId="0" fontId="12" fillId="3" borderId="1" xfId="1082" applyFont="1" applyFill="1" applyBorder="1" applyAlignment="1">
      <alignment wrapText="1"/>
    </xf>
    <xf numFmtId="2" fontId="12" fillId="3" borderId="1" xfId="1082" applyNumberFormat="1" applyFont="1" applyFill="1" applyBorder="1" applyAlignment="1">
      <alignment wrapText="1"/>
    </xf>
    <xf numFmtId="0" fontId="12" fillId="3" borderId="1" xfId="1082" applyFont="1" applyFill="1" applyBorder="1" applyAlignment="1">
      <alignment horizontal="center" vertical="center"/>
    </xf>
    <xf numFmtId="165" fontId="12" fillId="3" borderId="1" xfId="1082" applyNumberFormat="1" applyFont="1" applyFill="1" applyBorder="1" applyAlignment="1">
      <alignment horizontal="center" vertical="center"/>
    </xf>
    <xf numFmtId="0" fontId="12" fillId="0" borderId="1" xfId="856" applyFont="1" applyBorder="1" applyAlignment="1">
      <alignment horizontal="left"/>
    </xf>
    <xf numFmtId="0" fontId="11" fillId="3" borderId="1" xfId="1082" applyFont="1" applyFill="1" applyBorder="1" applyAlignment="1">
      <alignment horizontal="left" vertical="center" wrapText="1"/>
    </xf>
    <xf numFmtId="0" fontId="12" fillId="3" borderId="1" xfId="1083" applyFont="1" applyFill="1" applyBorder="1" applyAlignment="1">
      <alignment horizontal="left" vertical="center" wrapText="1"/>
    </xf>
    <xf numFmtId="0" fontId="11" fillId="0" borderId="1" xfId="856" applyFont="1" applyBorder="1" applyAlignment="1">
      <alignment wrapText="1"/>
    </xf>
    <xf numFmtId="0" fontId="11" fillId="3" borderId="1" xfId="1083" applyFont="1" applyFill="1" applyBorder="1" applyAlignment="1">
      <alignment horizontal="left" vertical="center" wrapText="1"/>
    </xf>
    <xf numFmtId="4" fontId="11" fillId="3" borderId="1" xfId="1082" applyNumberFormat="1" applyFont="1" applyFill="1" applyBorder="1" applyAlignment="1">
      <alignment horizontal="center" vertical="center" wrapText="1"/>
    </xf>
    <xf numFmtId="165" fontId="11" fillId="3" borderId="1" xfId="1082" applyNumberFormat="1" applyFont="1" applyFill="1" applyBorder="1" applyAlignment="1">
      <alignment horizontal="center" vertical="center" wrapText="1"/>
    </xf>
    <xf numFmtId="0" fontId="11" fillId="3" borderId="1" xfId="1082" applyFont="1" applyFill="1" applyBorder="1" applyAlignment="1">
      <alignment horizontal="center" vertical="center"/>
    </xf>
    <xf numFmtId="165" fontId="11" fillId="3" borderId="1" xfId="1082" applyNumberFormat="1" applyFont="1" applyFill="1" applyBorder="1" applyAlignment="1">
      <alignment horizontal="center" vertical="center"/>
    </xf>
    <xf numFmtId="0" fontId="12" fillId="3" borderId="1" xfId="856" applyFont="1" applyFill="1" applyBorder="1" applyAlignment="1">
      <alignment wrapText="1"/>
    </xf>
    <xf numFmtId="0" fontId="64" fillId="3" borderId="1" xfId="856" applyFont="1" applyFill="1" applyBorder="1" applyAlignment="1">
      <alignment wrapText="1"/>
    </xf>
    <xf numFmtId="0" fontId="11" fillId="0" borderId="1" xfId="856" applyFont="1" applyBorder="1"/>
    <xf numFmtId="0" fontId="65" fillId="0" borderId="0" xfId="0" applyFont="1" applyAlignment="1">
      <alignment vertical="center" wrapText="1"/>
    </xf>
    <xf numFmtId="164" fontId="5" fillId="3" borderId="1" xfId="1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9" fillId="0" borderId="0" xfId="2" applyFont="1" applyFill="1" applyAlignment="1">
      <alignment horizontal="left" vertical="center" wrapText="1"/>
    </xf>
    <xf numFmtId="0" fontId="18" fillId="0" borderId="0" xfId="2" applyFont="1" applyFill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19" fillId="0" borderId="1" xfId="1078" applyFont="1" applyFill="1" applyBorder="1" applyAlignment="1">
      <alignment horizontal="center" vertical="center" wrapText="1"/>
    </xf>
    <xf numFmtId="0" fontId="19" fillId="0" borderId="0" xfId="1078" applyFont="1" applyFill="1" applyAlignment="1">
      <alignment horizontal="left" vertical="center" wrapText="1"/>
    </xf>
    <xf numFmtId="0" fontId="18" fillId="0" borderId="0" xfId="1078" applyFont="1" applyFill="1" applyAlignment="1">
      <alignment horizontal="center" vertical="center"/>
    </xf>
    <xf numFmtId="0" fontId="20" fillId="0" borderId="1" xfId="1078" applyFont="1" applyFill="1" applyBorder="1" applyAlignment="1">
      <alignment horizontal="center" vertical="center" wrapText="1"/>
    </xf>
    <xf numFmtId="0" fontId="20" fillId="0" borderId="1" xfId="1078" applyFont="1" applyFill="1" applyBorder="1" applyAlignment="1">
      <alignment horizontal="center" vertical="center"/>
    </xf>
    <xf numFmtId="171" fontId="55" fillId="37" borderId="7" xfId="1054" applyNumberFormat="1" applyFont="1" applyFill="1" applyBorder="1" applyAlignment="1">
      <alignment horizontal="center" vertical="center"/>
    </xf>
    <xf numFmtId="171" fontId="55" fillId="37" borderId="22" xfId="1054" applyNumberFormat="1" applyFont="1" applyFill="1" applyBorder="1" applyAlignment="1">
      <alignment horizontal="center" vertical="center"/>
    </xf>
    <xf numFmtId="0" fontId="55" fillId="37" borderId="1" xfId="1054" applyFont="1" applyFill="1" applyBorder="1" applyAlignment="1">
      <alignment horizontal="left" vertical="center"/>
    </xf>
    <xf numFmtId="0" fontId="55" fillId="37" borderId="5" xfId="1054" applyFont="1" applyFill="1" applyBorder="1" applyAlignment="1">
      <alignment horizontal="left"/>
    </xf>
    <xf numFmtId="0" fontId="55" fillId="37" borderId="3" xfId="1054" applyFont="1" applyFill="1" applyBorder="1" applyAlignment="1">
      <alignment horizontal="left"/>
    </xf>
    <xf numFmtId="0" fontId="55" fillId="37" borderId="6" xfId="1054" applyFont="1" applyFill="1" applyBorder="1" applyAlignment="1">
      <alignment horizontal="left"/>
    </xf>
    <xf numFmtId="0" fontId="5" fillId="37" borderId="1" xfId="1054" applyFont="1" applyFill="1" applyBorder="1" applyAlignment="1">
      <alignment horizontal="center" vertical="center"/>
    </xf>
    <xf numFmtId="0" fontId="55" fillId="37" borderId="5" xfId="1054" applyFont="1" applyFill="1" applyBorder="1" applyAlignment="1">
      <alignment horizontal="center"/>
    </xf>
    <xf numFmtId="0" fontId="55" fillId="37" borderId="3" xfId="1054" applyFont="1" applyFill="1" applyBorder="1" applyAlignment="1">
      <alignment horizontal="center"/>
    </xf>
    <xf numFmtId="0" fontId="55" fillId="37" borderId="6" xfId="1054" applyFont="1" applyFill="1" applyBorder="1" applyAlignment="1">
      <alignment horizontal="center"/>
    </xf>
    <xf numFmtId="0" fontId="18" fillId="3" borderId="7" xfId="843" applyFont="1" applyFill="1" applyBorder="1" applyAlignment="1">
      <alignment horizontal="center" vertical="center" wrapText="1"/>
    </xf>
    <xf numFmtId="0" fontId="18" fillId="3" borderId="22" xfId="843" applyFont="1" applyFill="1" applyBorder="1" applyAlignment="1">
      <alignment horizontal="center" vertical="center" wrapText="1"/>
    </xf>
    <xf numFmtId="0" fontId="18" fillId="3" borderId="5" xfId="843" applyFont="1" applyFill="1" applyBorder="1" applyAlignment="1">
      <alignment horizontal="center" vertical="center" wrapText="1"/>
    </xf>
    <xf numFmtId="0" fontId="18" fillId="3" borderId="3" xfId="843" applyFont="1" applyFill="1" applyBorder="1" applyAlignment="1">
      <alignment horizontal="center" vertical="center" wrapText="1"/>
    </xf>
    <xf numFmtId="0" fontId="18" fillId="3" borderId="6" xfId="843" applyFont="1" applyFill="1" applyBorder="1" applyAlignment="1">
      <alignment horizontal="center" vertical="center" wrapText="1"/>
    </xf>
    <xf numFmtId="0" fontId="5" fillId="3" borderId="5" xfId="1054" applyFont="1" applyFill="1" applyBorder="1" applyAlignment="1">
      <alignment horizontal="center" vertical="center"/>
    </xf>
    <xf numFmtId="0" fontId="5" fillId="3" borderId="3" xfId="1054" applyFont="1" applyFill="1" applyBorder="1" applyAlignment="1">
      <alignment horizontal="center" vertical="center"/>
    </xf>
    <xf numFmtId="0" fontId="5" fillId="3" borderId="6" xfId="1054" applyFont="1" applyFill="1" applyBorder="1" applyAlignment="1">
      <alignment horizontal="center" vertical="center"/>
    </xf>
    <xf numFmtId="0" fontId="55" fillId="3" borderId="0" xfId="1054" applyFont="1" applyFill="1" applyAlignment="1">
      <alignment horizontal="center"/>
    </xf>
    <xf numFmtId="0" fontId="5" fillId="3" borderId="1" xfId="1054" applyFont="1" applyFill="1" applyBorder="1" applyAlignment="1">
      <alignment horizontal="center"/>
    </xf>
    <xf numFmtId="0" fontId="18" fillId="3" borderId="1" xfId="843" applyFont="1" applyFill="1" applyBorder="1" applyAlignment="1">
      <alignment horizontal="center" vertical="center" wrapText="1"/>
    </xf>
    <xf numFmtId="0" fontId="56" fillId="3" borderId="1" xfId="843" applyFont="1" applyFill="1" applyBorder="1" applyAlignment="1">
      <alignment horizontal="center" vertical="center" wrapText="1"/>
    </xf>
    <xf numFmtId="0" fontId="56" fillId="3" borderId="25" xfId="843" applyFont="1" applyFill="1" applyBorder="1" applyAlignment="1">
      <alignment horizontal="center" vertical="center" wrapText="1"/>
    </xf>
    <xf numFmtId="0" fontId="56" fillId="3" borderId="24" xfId="843" applyFont="1" applyFill="1" applyBorder="1" applyAlignment="1">
      <alignment horizontal="center" vertical="center" wrapText="1"/>
    </xf>
    <xf numFmtId="0" fontId="56" fillId="3" borderId="23" xfId="843" applyFont="1" applyFill="1" applyBorder="1" applyAlignment="1">
      <alignment horizontal="center" vertical="center" wrapText="1"/>
    </xf>
    <xf numFmtId="0" fontId="56" fillId="3" borderId="6" xfId="843" applyFont="1" applyFill="1" applyBorder="1" applyAlignment="1">
      <alignment horizontal="center" vertical="center" wrapText="1"/>
    </xf>
    <xf numFmtId="0" fontId="56" fillId="3" borderId="22" xfId="843" applyFont="1" applyFill="1" applyBorder="1" applyAlignment="1">
      <alignment horizontal="center" vertical="center" wrapText="1"/>
    </xf>
    <xf numFmtId="0" fontId="56" fillId="3" borderId="21" xfId="843" applyFont="1" applyFill="1" applyBorder="1" applyAlignment="1">
      <alignment horizontal="center" vertical="center" wrapText="1"/>
    </xf>
    <xf numFmtId="0" fontId="5" fillId="3" borderId="1" xfId="1054" applyFont="1" applyFill="1" applyBorder="1" applyAlignment="1">
      <alignment horizontal="center" vertical="center" wrapText="1"/>
    </xf>
    <xf numFmtId="0" fontId="18" fillId="3" borderId="0" xfId="843" applyFont="1" applyFill="1" applyAlignment="1">
      <alignment horizontal="center" wrapText="1"/>
    </xf>
    <xf numFmtId="0" fontId="56" fillId="3" borderId="8" xfId="843" applyFont="1" applyFill="1" applyBorder="1" applyAlignment="1">
      <alignment horizontal="center" vertical="center" wrapText="1"/>
    </xf>
    <xf numFmtId="0" fontId="56" fillId="3" borderId="4" xfId="843" applyFont="1" applyFill="1" applyBorder="1" applyAlignment="1">
      <alignment horizontal="center" vertical="center" wrapText="1"/>
    </xf>
    <xf numFmtId="0" fontId="56" fillId="3" borderId="27" xfId="843" applyFont="1" applyFill="1" applyBorder="1" applyAlignment="1">
      <alignment horizontal="center" vertical="center" wrapText="1"/>
    </xf>
    <xf numFmtId="0" fontId="56" fillId="3" borderId="28" xfId="843" applyFont="1" applyFill="1" applyBorder="1" applyAlignment="1">
      <alignment horizontal="center" vertical="center" wrapText="1"/>
    </xf>
    <xf numFmtId="0" fontId="56" fillId="3" borderId="2" xfId="843" applyFont="1" applyFill="1" applyBorder="1" applyAlignment="1">
      <alignment horizontal="center" vertical="center" wrapText="1"/>
    </xf>
    <xf numFmtId="0" fontId="56" fillId="3" borderId="7" xfId="843" applyFont="1" applyFill="1" applyBorder="1" applyAlignment="1">
      <alignment horizontal="center" vertical="center" wrapText="1"/>
    </xf>
    <xf numFmtId="0" fontId="56" fillId="3" borderId="26" xfId="843" applyFont="1" applyFill="1" applyBorder="1" applyAlignment="1">
      <alignment horizontal="center" vertical="center" wrapText="1"/>
    </xf>
    <xf numFmtId="0" fontId="56" fillId="3" borderId="7" xfId="843" applyFont="1" applyFill="1" applyBorder="1" applyAlignment="1">
      <alignment horizontal="center" vertical="center"/>
    </xf>
    <xf numFmtId="0" fontId="56" fillId="3" borderId="26" xfId="843" applyFont="1" applyFill="1" applyBorder="1" applyAlignment="1">
      <alignment horizontal="center" vertical="center"/>
    </xf>
    <xf numFmtId="0" fontId="56" fillId="3" borderId="22" xfId="843" applyFont="1" applyFill="1" applyBorder="1" applyAlignment="1">
      <alignment horizontal="center" vertical="center"/>
    </xf>
    <xf numFmtId="0" fontId="5" fillId="3" borderId="7" xfId="1054" applyFont="1" applyFill="1" applyBorder="1" applyAlignment="1">
      <alignment horizontal="center" vertical="center" wrapText="1"/>
    </xf>
    <xf numFmtId="0" fontId="5" fillId="3" borderId="26" xfId="1054" applyFont="1" applyFill="1" applyBorder="1" applyAlignment="1">
      <alignment horizontal="center" vertical="center" wrapText="1"/>
    </xf>
    <xf numFmtId="0" fontId="5" fillId="3" borderId="22" xfId="1054" applyFont="1" applyFill="1" applyBorder="1" applyAlignment="1">
      <alignment horizontal="center" vertical="center" wrapText="1"/>
    </xf>
    <xf numFmtId="0" fontId="16" fillId="0" borderId="7" xfId="1054" applyFont="1" applyBorder="1" applyAlignment="1">
      <alignment horizontal="center" vertical="center" wrapText="1"/>
    </xf>
    <xf numFmtId="0" fontId="16" fillId="0" borderId="26" xfId="1054" applyFont="1" applyBorder="1" applyAlignment="1">
      <alignment horizontal="center" vertical="center" wrapText="1"/>
    </xf>
    <xf numFmtId="0" fontId="16" fillId="0" borderId="22" xfId="1054" applyFont="1" applyBorder="1" applyAlignment="1">
      <alignment horizontal="center" vertical="center" wrapText="1"/>
    </xf>
    <xf numFmtId="0" fontId="16" fillId="37" borderId="7" xfId="1054" applyFont="1" applyFill="1" applyBorder="1" applyAlignment="1">
      <alignment horizontal="center" vertical="center" wrapText="1"/>
    </xf>
    <xf numFmtId="0" fontId="16" fillId="37" borderId="26" xfId="1054" applyFont="1" applyFill="1" applyBorder="1" applyAlignment="1">
      <alignment horizontal="center" vertical="center" wrapText="1"/>
    </xf>
    <xf numFmtId="0" fontId="16" fillId="37" borderId="22" xfId="1054" applyFont="1" applyFill="1" applyBorder="1" applyAlignment="1">
      <alignment horizontal="center" vertical="center" wrapText="1"/>
    </xf>
    <xf numFmtId="0" fontId="17" fillId="0" borderId="0" xfId="1054" applyFont="1" applyAlignment="1">
      <alignment horizontal="center"/>
    </xf>
    <xf numFmtId="3" fontId="23" fillId="37" borderId="5" xfId="1054" applyNumberFormat="1" applyFont="1" applyFill="1" applyBorder="1" applyAlignment="1">
      <alignment horizontal="center" vertical="center"/>
    </xf>
    <xf numFmtId="3" fontId="23" fillId="37" borderId="3" xfId="1054" applyNumberFormat="1" applyFont="1" applyFill="1" applyBorder="1" applyAlignment="1">
      <alignment horizontal="center" vertical="center"/>
    </xf>
    <xf numFmtId="3" fontId="23" fillId="37" borderId="6" xfId="1054" applyNumberFormat="1" applyFont="1" applyFill="1" applyBorder="1" applyAlignment="1">
      <alignment horizontal="center" vertical="center"/>
    </xf>
    <xf numFmtId="0" fontId="16" fillId="0" borderId="1" xfId="1054" applyFont="1" applyBorder="1" applyAlignment="1">
      <alignment horizontal="center" vertical="center" wrapText="1"/>
    </xf>
    <xf numFmtId="3" fontId="16" fillId="3" borderId="5" xfId="1054" applyNumberFormat="1" applyFont="1" applyFill="1" applyBorder="1" applyAlignment="1">
      <alignment horizontal="center" vertical="center" wrapText="1"/>
    </xf>
    <xf numFmtId="3" fontId="16" fillId="3" borderId="3" xfId="1054" applyNumberFormat="1" applyFont="1" applyFill="1" applyBorder="1" applyAlignment="1">
      <alignment horizontal="center" vertical="center" wrapText="1"/>
    </xf>
    <xf numFmtId="3" fontId="16" fillId="3" borderId="6" xfId="1054" applyNumberFormat="1" applyFont="1" applyFill="1" applyBorder="1" applyAlignment="1">
      <alignment horizontal="center" vertical="center" wrapText="1"/>
    </xf>
    <xf numFmtId="3" fontId="16" fillId="3" borderId="7" xfId="1054" applyNumberFormat="1" applyFont="1" applyFill="1" applyBorder="1" applyAlignment="1">
      <alignment horizontal="center" vertical="center" wrapText="1"/>
    </xf>
    <xf numFmtId="3" fontId="16" fillId="3" borderId="26" xfId="1054" applyNumberFormat="1" applyFont="1" applyFill="1" applyBorder="1" applyAlignment="1">
      <alignment horizontal="center" vertical="center" wrapText="1"/>
    </xf>
    <xf numFmtId="3" fontId="16" fillId="3" borderId="22" xfId="1054" applyNumberFormat="1" applyFont="1" applyFill="1" applyBorder="1" applyAlignment="1">
      <alignment horizontal="center" vertical="center" wrapText="1"/>
    </xf>
    <xf numFmtId="3" fontId="16" fillId="3" borderId="8" xfId="1054" applyNumberFormat="1" applyFont="1" applyFill="1" applyBorder="1" applyAlignment="1">
      <alignment horizontal="center" vertical="center" wrapText="1"/>
    </xf>
    <xf numFmtId="3" fontId="16" fillId="3" borderId="4" xfId="1054" applyNumberFormat="1" applyFont="1" applyFill="1" applyBorder="1" applyAlignment="1">
      <alignment horizontal="center" vertical="center" wrapText="1"/>
    </xf>
    <xf numFmtId="3" fontId="16" fillId="3" borderId="27" xfId="1054" applyNumberFormat="1" applyFont="1" applyFill="1" applyBorder="1" applyAlignment="1">
      <alignment horizontal="center" vertical="center" wrapText="1"/>
    </xf>
    <xf numFmtId="3" fontId="16" fillId="3" borderId="28" xfId="1054" applyNumberFormat="1" applyFont="1" applyFill="1" applyBorder="1" applyAlignment="1">
      <alignment horizontal="center" vertical="center" wrapText="1"/>
    </xf>
    <xf numFmtId="3" fontId="16" fillId="3" borderId="2" xfId="1054" applyNumberFormat="1" applyFont="1" applyFill="1" applyBorder="1" applyAlignment="1">
      <alignment horizontal="center" vertical="center" wrapText="1"/>
    </xf>
    <xf numFmtId="3" fontId="16" fillId="3" borderId="23" xfId="1054" applyNumberFormat="1" applyFont="1" applyFill="1" applyBorder="1" applyAlignment="1">
      <alignment horizontal="center" vertical="center" wrapText="1"/>
    </xf>
    <xf numFmtId="0" fontId="11" fillId="3" borderId="1" xfId="1057" applyFont="1" applyFill="1" applyBorder="1" applyAlignment="1">
      <alignment horizontal="center" vertical="center" wrapText="1"/>
    </xf>
    <xf numFmtId="0" fontId="65" fillId="0" borderId="0" xfId="1057" applyFont="1" applyBorder="1" applyAlignment="1">
      <alignment horizontal="center" vertical="center" wrapText="1"/>
    </xf>
    <xf numFmtId="0" fontId="11" fillId="0" borderId="1" xfId="1057" applyFont="1" applyBorder="1" applyAlignment="1">
      <alignment horizontal="center" vertical="center" wrapText="1"/>
    </xf>
    <xf numFmtId="0" fontId="11" fillId="3" borderId="1" xfId="1082" applyFont="1" applyFill="1" applyBorder="1" applyAlignment="1">
      <alignment horizontal="center" vertical="center" wrapText="1"/>
    </xf>
    <xf numFmtId="0" fontId="11" fillId="0" borderId="0" xfId="1082" applyFont="1" applyBorder="1" applyAlignment="1">
      <alignment horizontal="center" vertical="center" wrapText="1"/>
    </xf>
    <xf numFmtId="0" fontId="11" fillId="0" borderId="1" xfId="108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7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9" borderId="1" xfId="0" applyFont="1" applyFill="1" applyBorder="1" applyAlignment="1">
      <alignment horizontal="center" wrapText="1"/>
    </xf>
    <xf numFmtId="0" fontId="69" fillId="0" borderId="0" xfId="0" applyFont="1" applyAlignment="1">
      <alignment horizontal="center" vertical="center"/>
    </xf>
    <xf numFmtId="0" fontId="70" fillId="0" borderId="1" xfId="0" applyFont="1" applyBorder="1" applyAlignment="1">
      <alignment horizontal="center" vertical="center" wrapText="1"/>
    </xf>
    <xf numFmtId="174" fontId="70" fillId="0" borderId="1" xfId="0" applyNumberFormat="1" applyFont="1" applyBorder="1" applyAlignment="1">
      <alignment horizontal="center" vertical="center" wrapText="1"/>
    </xf>
    <xf numFmtId="174" fontId="65" fillId="0" borderId="1" xfId="0" applyNumberFormat="1" applyFont="1" applyFill="1" applyBorder="1" applyAlignment="1">
      <alignment horizontal="center" vertical="center"/>
    </xf>
    <xf numFmtId="0" fontId="22" fillId="3" borderId="0" xfId="1060" applyFont="1" applyFill="1" applyAlignment="1">
      <alignment horizontal="center"/>
    </xf>
    <xf numFmtId="0" fontId="12" fillId="3" borderId="2" xfId="851" applyFont="1" applyFill="1" applyBorder="1" applyAlignment="1">
      <alignment horizontal="right" vertical="center" wrapText="1"/>
    </xf>
    <xf numFmtId="0" fontId="19" fillId="3" borderId="1" xfId="1060" applyFont="1" applyFill="1" applyBorder="1" applyAlignment="1">
      <alignment horizontal="center" vertical="center" wrapText="1"/>
    </xf>
    <xf numFmtId="0" fontId="19" fillId="3" borderId="7" xfId="1060" applyFont="1" applyFill="1" applyBorder="1" applyAlignment="1">
      <alignment horizontal="center" vertical="center" wrapText="1"/>
    </xf>
    <xf numFmtId="0" fontId="19" fillId="3" borderId="22" xfId="1060" applyFont="1" applyFill="1" applyBorder="1" applyAlignment="1">
      <alignment horizontal="center" vertical="center" wrapText="1"/>
    </xf>
    <xf numFmtId="0" fontId="19" fillId="3" borderId="7" xfId="1060" applyFont="1" applyFill="1" applyBorder="1" applyAlignment="1">
      <alignment horizontal="center" wrapText="1"/>
    </xf>
    <xf numFmtId="0" fontId="19" fillId="3" borderId="22" xfId="1060" applyFont="1" applyFill="1" applyBorder="1" applyAlignment="1">
      <alignment horizontal="center" wrapText="1"/>
    </xf>
    <xf numFmtId="0" fontId="19" fillId="37" borderId="7" xfId="1060" applyFont="1" applyFill="1" applyBorder="1" applyAlignment="1">
      <alignment horizontal="center" vertical="center" wrapText="1"/>
    </xf>
    <xf numFmtId="0" fontId="19" fillId="37" borderId="22" xfId="1060" applyFont="1" applyFill="1" applyBorder="1" applyAlignment="1">
      <alignment horizontal="center" vertical="center" wrapText="1"/>
    </xf>
    <xf numFmtId="0" fontId="19" fillId="3" borderId="5" xfId="1060" applyFont="1" applyFill="1" applyBorder="1" applyAlignment="1">
      <alignment horizontal="center" wrapText="1"/>
    </xf>
    <xf numFmtId="0" fontId="19" fillId="3" borderId="6" xfId="1060" applyFont="1" applyFill="1" applyBorder="1" applyAlignment="1">
      <alignment horizontal="center" wrapText="1"/>
    </xf>
    <xf numFmtId="0" fontId="12" fillId="3" borderId="1" xfId="851" applyFont="1" applyFill="1" applyBorder="1" applyAlignment="1">
      <alignment horizontal="center" vertical="center" wrapText="1"/>
    </xf>
    <xf numFmtId="0" fontId="12" fillId="3" borderId="7" xfId="851" applyFont="1" applyFill="1" applyBorder="1" applyAlignment="1">
      <alignment horizontal="center" vertical="center" wrapText="1"/>
    </xf>
    <xf numFmtId="0" fontId="12" fillId="3" borderId="22" xfId="851" applyFont="1" applyFill="1" applyBorder="1" applyAlignment="1">
      <alignment horizontal="center" vertical="center" wrapText="1"/>
    </xf>
    <xf numFmtId="0" fontId="72" fillId="3" borderId="0" xfId="106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55" fillId="0" borderId="0" xfId="0" applyFont="1" applyAlignment="1">
      <alignment horizontal="center" wrapText="1"/>
    </xf>
    <xf numFmtId="49" fontId="18" fillId="0" borderId="29" xfId="838" applyNumberFormat="1" applyFont="1" applyFill="1" applyBorder="1" applyAlignment="1">
      <alignment horizontal="center" vertical="center" wrapText="1"/>
    </xf>
    <xf numFmtId="49" fontId="18" fillId="0" borderId="0" xfId="838" applyNumberFormat="1" applyFont="1" applyFill="1" applyBorder="1" applyAlignment="1">
      <alignment horizontal="center" vertical="center" wrapText="1"/>
    </xf>
  </cellXfs>
  <cellStyles count="1084"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0" xfId="14"/>
    <cellStyle name="20% - Акцент1 21" xfId="15"/>
    <cellStyle name="20% - Акцент1 22" xfId="16"/>
    <cellStyle name="20% - Акцент1 23" xfId="17"/>
    <cellStyle name="20% - Акцент1 24" xfId="18"/>
    <cellStyle name="20% - Акцент1 3" xfId="19"/>
    <cellStyle name="20% - Акцент1 4" xfId="20"/>
    <cellStyle name="20% - Акцент1 5" xfId="21"/>
    <cellStyle name="20% - Акцент1 6" xfId="22"/>
    <cellStyle name="20% - Акцент1 7" xfId="23"/>
    <cellStyle name="20% - Акцент1 8" xfId="24"/>
    <cellStyle name="20% - Акцент1 9" xfId="25"/>
    <cellStyle name="20% - Акцент2 10" xfId="26"/>
    <cellStyle name="20% - Акцент2 11" xfId="27"/>
    <cellStyle name="20% - Акцент2 12" xfId="28"/>
    <cellStyle name="20% - Акцент2 13" xfId="29"/>
    <cellStyle name="20% - Акцент2 14" xfId="30"/>
    <cellStyle name="20% - Акцент2 15" xfId="31"/>
    <cellStyle name="20% - Акцент2 16" xfId="32"/>
    <cellStyle name="20% - Акцент2 17" xfId="33"/>
    <cellStyle name="20% - Акцент2 18" xfId="34"/>
    <cellStyle name="20% - Акцент2 19" xfId="35"/>
    <cellStyle name="20% - Акцент2 2" xfId="36"/>
    <cellStyle name="20% - Акцент2 20" xfId="37"/>
    <cellStyle name="20% - Акцент2 21" xfId="38"/>
    <cellStyle name="20% - Акцент2 22" xfId="39"/>
    <cellStyle name="20% - Акцент2 23" xfId="40"/>
    <cellStyle name="20% - Акцент2 24" xfId="41"/>
    <cellStyle name="20% - Акцент2 3" xfId="42"/>
    <cellStyle name="20% - Акцент2 4" xfId="43"/>
    <cellStyle name="20% - Акцент2 5" xfId="44"/>
    <cellStyle name="20% - Акцент2 6" xfId="45"/>
    <cellStyle name="20% - Акцент2 7" xfId="46"/>
    <cellStyle name="20% - Акцент2 8" xfId="47"/>
    <cellStyle name="20% - Акцент2 9" xfId="48"/>
    <cellStyle name="20% - Акцент3 10" xfId="49"/>
    <cellStyle name="20% - Акцент3 11" xfId="50"/>
    <cellStyle name="20% - Акцент3 12" xfId="51"/>
    <cellStyle name="20% - Акцент3 13" xfId="52"/>
    <cellStyle name="20% - Акцент3 14" xfId="53"/>
    <cellStyle name="20% - Акцент3 15" xfId="54"/>
    <cellStyle name="20% - Акцент3 16" xfId="55"/>
    <cellStyle name="20% - Акцент3 17" xfId="56"/>
    <cellStyle name="20% - Акцент3 18" xfId="57"/>
    <cellStyle name="20% - Акцент3 19" xfId="58"/>
    <cellStyle name="20% - Акцент3 2" xfId="59"/>
    <cellStyle name="20% - Акцент3 20" xfId="60"/>
    <cellStyle name="20% - Акцент3 21" xfId="61"/>
    <cellStyle name="20% - Акцент3 22" xfId="62"/>
    <cellStyle name="20% - Акцент3 23" xfId="63"/>
    <cellStyle name="20% - Акцент3 24" xfId="64"/>
    <cellStyle name="20% - Акцент3 3" xfId="65"/>
    <cellStyle name="20% - Акцент3 4" xfId="66"/>
    <cellStyle name="20% - Акцент3 5" xfId="67"/>
    <cellStyle name="20% - Акцент3 6" xfId="68"/>
    <cellStyle name="20% - Акцент3 7" xfId="69"/>
    <cellStyle name="20% - Акцент3 8" xfId="70"/>
    <cellStyle name="20% - Акцент3 9" xfId="71"/>
    <cellStyle name="20% - Акцент4 10" xfId="72"/>
    <cellStyle name="20% - Акцент4 11" xfId="73"/>
    <cellStyle name="20% - Акцент4 12" xfId="74"/>
    <cellStyle name="20% - Акцент4 13" xfId="75"/>
    <cellStyle name="20% - Акцент4 14" xfId="76"/>
    <cellStyle name="20% - Акцент4 15" xfId="77"/>
    <cellStyle name="20% - Акцент4 16" xfId="78"/>
    <cellStyle name="20% - Акцент4 17" xfId="79"/>
    <cellStyle name="20% - Акцент4 18" xfId="80"/>
    <cellStyle name="20% - Акцент4 19" xfId="81"/>
    <cellStyle name="20% - Акцент4 2" xfId="82"/>
    <cellStyle name="20% - Акцент4 20" xfId="83"/>
    <cellStyle name="20% - Акцент4 21" xfId="84"/>
    <cellStyle name="20% - Акцент4 22" xfId="85"/>
    <cellStyle name="20% - Акцент4 23" xfId="86"/>
    <cellStyle name="20% - Акцент4 24" xfId="87"/>
    <cellStyle name="20% - Акцент4 3" xfId="88"/>
    <cellStyle name="20% - Акцент4 4" xfId="89"/>
    <cellStyle name="20% - Акцент4 5" xfId="90"/>
    <cellStyle name="20% - Акцент4 6" xfId="91"/>
    <cellStyle name="20% - Акцент4 7" xfId="92"/>
    <cellStyle name="20% - Акцент4 8" xfId="93"/>
    <cellStyle name="20% - Акцент4 9" xfId="94"/>
    <cellStyle name="20% - Акцент5 10" xfId="95"/>
    <cellStyle name="20% - Акцент5 11" xfId="96"/>
    <cellStyle name="20% - Акцент5 12" xfId="97"/>
    <cellStyle name="20% - Акцент5 13" xfId="98"/>
    <cellStyle name="20% - Акцент5 14" xfId="99"/>
    <cellStyle name="20% - Акцент5 15" xfId="100"/>
    <cellStyle name="20% - Акцент5 16" xfId="101"/>
    <cellStyle name="20% - Акцент5 17" xfId="102"/>
    <cellStyle name="20% - Акцент5 18" xfId="103"/>
    <cellStyle name="20% - Акцент5 19" xfId="104"/>
    <cellStyle name="20% - Акцент5 2" xfId="105"/>
    <cellStyle name="20% - Акцент5 20" xfId="106"/>
    <cellStyle name="20% - Акцент5 21" xfId="107"/>
    <cellStyle name="20% - Акцент5 22" xfId="108"/>
    <cellStyle name="20% - Акцент5 23" xfId="109"/>
    <cellStyle name="20% - Акцент5 24" xfId="110"/>
    <cellStyle name="20% - Акцент5 3" xfId="111"/>
    <cellStyle name="20% - Акцент5 4" xfId="112"/>
    <cellStyle name="20% - Акцент5 5" xfId="113"/>
    <cellStyle name="20% - Акцент5 6" xfId="114"/>
    <cellStyle name="20% - Акцент5 7" xfId="115"/>
    <cellStyle name="20% - Акцент5 8" xfId="116"/>
    <cellStyle name="20% - Акцент5 9" xfId="117"/>
    <cellStyle name="20% - Акцент6 10" xfId="118"/>
    <cellStyle name="20% - Акцент6 11" xfId="119"/>
    <cellStyle name="20% - Акцент6 12" xfId="120"/>
    <cellStyle name="20% - Акцент6 13" xfId="121"/>
    <cellStyle name="20% - Акцент6 14" xfId="122"/>
    <cellStyle name="20% - Акцент6 15" xfId="123"/>
    <cellStyle name="20% - Акцент6 16" xfId="124"/>
    <cellStyle name="20% - Акцент6 17" xfId="125"/>
    <cellStyle name="20% - Акцент6 18" xfId="126"/>
    <cellStyle name="20% - Акцент6 19" xfId="127"/>
    <cellStyle name="20% - Акцент6 2" xfId="128"/>
    <cellStyle name="20% - Акцент6 20" xfId="129"/>
    <cellStyle name="20% - Акцент6 21" xfId="130"/>
    <cellStyle name="20% - Акцент6 22" xfId="131"/>
    <cellStyle name="20% - Акцент6 23" xfId="132"/>
    <cellStyle name="20% - Акцент6 24" xfId="133"/>
    <cellStyle name="20% - Акцент6 3" xfId="134"/>
    <cellStyle name="20% - Акцент6 4" xfId="135"/>
    <cellStyle name="20% - Акцент6 5" xfId="136"/>
    <cellStyle name="20% - Акцент6 6" xfId="137"/>
    <cellStyle name="20% - Акцент6 7" xfId="138"/>
    <cellStyle name="20% - Акцент6 8" xfId="139"/>
    <cellStyle name="20% - Акцент6 9" xfId="140"/>
    <cellStyle name="40% - Акцент1 10" xfId="141"/>
    <cellStyle name="40% - Акцент1 11" xfId="142"/>
    <cellStyle name="40% - Акцент1 12" xfId="143"/>
    <cellStyle name="40% - Акцент1 13" xfId="144"/>
    <cellStyle name="40% - Акцент1 14" xfId="145"/>
    <cellStyle name="40% - Акцент1 15" xfId="146"/>
    <cellStyle name="40% - Акцент1 16" xfId="147"/>
    <cellStyle name="40% - Акцент1 17" xfId="148"/>
    <cellStyle name="40% - Акцент1 18" xfId="149"/>
    <cellStyle name="40% - Акцент1 19" xfId="150"/>
    <cellStyle name="40% - Акцент1 2" xfId="151"/>
    <cellStyle name="40% - Акцент1 20" xfId="152"/>
    <cellStyle name="40% - Акцент1 21" xfId="153"/>
    <cellStyle name="40% - Акцент1 22" xfId="154"/>
    <cellStyle name="40% - Акцент1 23" xfId="155"/>
    <cellStyle name="40% - Акцент1 24" xfId="156"/>
    <cellStyle name="40% - Акцент1 3" xfId="157"/>
    <cellStyle name="40% - Акцент1 4" xfId="158"/>
    <cellStyle name="40% - Акцент1 5" xfId="159"/>
    <cellStyle name="40% - Акцент1 6" xfId="160"/>
    <cellStyle name="40% - Акцент1 7" xfId="161"/>
    <cellStyle name="40% - Акцент1 8" xfId="162"/>
    <cellStyle name="40% - Акцент1 9" xfId="163"/>
    <cellStyle name="40% - Акцент2 10" xfId="164"/>
    <cellStyle name="40% - Акцент2 11" xfId="165"/>
    <cellStyle name="40% - Акцент2 12" xfId="166"/>
    <cellStyle name="40% - Акцент2 13" xfId="167"/>
    <cellStyle name="40% - Акцент2 14" xfId="168"/>
    <cellStyle name="40% - Акцент2 15" xfId="169"/>
    <cellStyle name="40% - Акцент2 16" xfId="170"/>
    <cellStyle name="40% - Акцент2 17" xfId="171"/>
    <cellStyle name="40% - Акцент2 18" xfId="172"/>
    <cellStyle name="40% - Акцент2 19" xfId="173"/>
    <cellStyle name="40% - Акцент2 2" xfId="174"/>
    <cellStyle name="40% - Акцент2 20" xfId="175"/>
    <cellStyle name="40% - Акцент2 21" xfId="176"/>
    <cellStyle name="40% - Акцент2 22" xfId="177"/>
    <cellStyle name="40% - Акцент2 23" xfId="178"/>
    <cellStyle name="40% - Акцент2 24" xfId="179"/>
    <cellStyle name="40% - Акцент2 3" xfId="180"/>
    <cellStyle name="40% - Акцент2 4" xfId="181"/>
    <cellStyle name="40% - Акцент2 5" xfId="182"/>
    <cellStyle name="40% - Акцент2 6" xfId="183"/>
    <cellStyle name="40% - Акцент2 7" xfId="184"/>
    <cellStyle name="40% - Акцент2 8" xfId="185"/>
    <cellStyle name="40% - Акцент2 9" xfId="186"/>
    <cellStyle name="40% - Акцент3 10" xfId="187"/>
    <cellStyle name="40% - Акцент3 11" xfId="188"/>
    <cellStyle name="40% - Акцент3 12" xfId="189"/>
    <cellStyle name="40% - Акцент3 13" xfId="190"/>
    <cellStyle name="40% - Акцент3 14" xfId="191"/>
    <cellStyle name="40% - Акцент3 15" xfId="192"/>
    <cellStyle name="40% - Акцент3 16" xfId="193"/>
    <cellStyle name="40% - Акцент3 17" xfId="194"/>
    <cellStyle name="40% - Акцент3 18" xfId="195"/>
    <cellStyle name="40% - Акцент3 19" xfId="196"/>
    <cellStyle name="40% - Акцент3 2" xfId="197"/>
    <cellStyle name="40% - Акцент3 20" xfId="198"/>
    <cellStyle name="40% - Акцент3 21" xfId="199"/>
    <cellStyle name="40% - Акцент3 22" xfId="200"/>
    <cellStyle name="40% - Акцент3 23" xfId="201"/>
    <cellStyle name="40% - Акцент3 24" xfId="202"/>
    <cellStyle name="40% - Акцент3 3" xfId="203"/>
    <cellStyle name="40% - Акцент3 4" xfId="204"/>
    <cellStyle name="40% - Акцент3 5" xfId="205"/>
    <cellStyle name="40% - Акцент3 6" xfId="206"/>
    <cellStyle name="40% - Акцент3 7" xfId="207"/>
    <cellStyle name="40% - Акцент3 8" xfId="208"/>
    <cellStyle name="40% - Акцент3 9" xfId="209"/>
    <cellStyle name="40% - Акцент4 10" xfId="210"/>
    <cellStyle name="40% - Акцент4 11" xfId="211"/>
    <cellStyle name="40% - Акцент4 12" xfId="212"/>
    <cellStyle name="40% - Акцент4 13" xfId="213"/>
    <cellStyle name="40% - Акцент4 14" xfId="214"/>
    <cellStyle name="40% - Акцент4 15" xfId="215"/>
    <cellStyle name="40% - Акцент4 16" xfId="216"/>
    <cellStyle name="40% - Акцент4 17" xfId="217"/>
    <cellStyle name="40% - Акцент4 18" xfId="218"/>
    <cellStyle name="40% - Акцент4 19" xfId="219"/>
    <cellStyle name="40% - Акцент4 2" xfId="220"/>
    <cellStyle name="40% - Акцент4 20" xfId="221"/>
    <cellStyle name="40% - Акцент4 21" xfId="222"/>
    <cellStyle name="40% - Акцент4 22" xfId="223"/>
    <cellStyle name="40% - Акцент4 23" xfId="224"/>
    <cellStyle name="40% - Акцент4 24" xfId="225"/>
    <cellStyle name="40% - Акцент4 3" xfId="226"/>
    <cellStyle name="40% - Акцент4 4" xfId="227"/>
    <cellStyle name="40% - Акцент4 5" xfId="228"/>
    <cellStyle name="40% - Акцент4 6" xfId="229"/>
    <cellStyle name="40% - Акцент4 7" xfId="230"/>
    <cellStyle name="40% - Акцент4 8" xfId="231"/>
    <cellStyle name="40% - Акцент4 9" xfId="232"/>
    <cellStyle name="40% - Акцент5 10" xfId="233"/>
    <cellStyle name="40% - Акцент5 11" xfId="234"/>
    <cellStyle name="40% - Акцент5 12" xfId="235"/>
    <cellStyle name="40% - Акцент5 13" xfId="236"/>
    <cellStyle name="40% - Акцент5 14" xfId="237"/>
    <cellStyle name="40% - Акцент5 15" xfId="238"/>
    <cellStyle name="40% - Акцент5 16" xfId="239"/>
    <cellStyle name="40% - Акцент5 17" xfId="240"/>
    <cellStyle name="40% - Акцент5 18" xfId="241"/>
    <cellStyle name="40% - Акцент5 19" xfId="242"/>
    <cellStyle name="40% - Акцент5 2" xfId="243"/>
    <cellStyle name="40% - Акцент5 20" xfId="244"/>
    <cellStyle name="40% - Акцент5 21" xfId="245"/>
    <cellStyle name="40% - Акцент5 22" xfId="246"/>
    <cellStyle name="40% - Акцент5 23" xfId="247"/>
    <cellStyle name="40% - Акцент5 24" xfId="248"/>
    <cellStyle name="40% - Акцент5 3" xfId="249"/>
    <cellStyle name="40% - Акцент5 4" xfId="250"/>
    <cellStyle name="40% - Акцент5 5" xfId="251"/>
    <cellStyle name="40% - Акцент5 6" xfId="252"/>
    <cellStyle name="40% - Акцент5 7" xfId="253"/>
    <cellStyle name="40% - Акцент5 8" xfId="254"/>
    <cellStyle name="40% - Акцент5 9" xfId="255"/>
    <cellStyle name="40% - Акцент6 10" xfId="256"/>
    <cellStyle name="40% - Акцент6 11" xfId="257"/>
    <cellStyle name="40% - Акцент6 12" xfId="258"/>
    <cellStyle name="40% - Акцент6 13" xfId="259"/>
    <cellStyle name="40% - Акцент6 14" xfId="260"/>
    <cellStyle name="40% - Акцент6 15" xfId="261"/>
    <cellStyle name="40% - Акцент6 16" xfId="262"/>
    <cellStyle name="40% - Акцент6 17" xfId="263"/>
    <cellStyle name="40% - Акцент6 18" xfId="264"/>
    <cellStyle name="40% - Акцент6 19" xfId="265"/>
    <cellStyle name="40% - Акцент6 2" xfId="266"/>
    <cellStyle name="40% - Акцент6 20" xfId="267"/>
    <cellStyle name="40% - Акцент6 21" xfId="268"/>
    <cellStyle name="40% - Акцент6 22" xfId="269"/>
    <cellStyle name="40% - Акцент6 23" xfId="270"/>
    <cellStyle name="40% - Акцент6 24" xfId="271"/>
    <cellStyle name="40% - Акцент6 3" xfId="272"/>
    <cellStyle name="40% - Акцент6 4" xfId="273"/>
    <cellStyle name="40% - Акцент6 5" xfId="274"/>
    <cellStyle name="40% - Акцент6 6" xfId="275"/>
    <cellStyle name="40% - Акцент6 7" xfId="276"/>
    <cellStyle name="40% - Акцент6 8" xfId="277"/>
    <cellStyle name="40% - Акцент6 9" xfId="278"/>
    <cellStyle name="60% - Акцент1 10" xfId="279"/>
    <cellStyle name="60% - Акцент1 11" xfId="280"/>
    <cellStyle name="60% - Акцент1 12" xfId="281"/>
    <cellStyle name="60% - Акцент1 13" xfId="282"/>
    <cellStyle name="60% - Акцент1 14" xfId="283"/>
    <cellStyle name="60% - Акцент1 15" xfId="284"/>
    <cellStyle name="60% - Акцент1 16" xfId="285"/>
    <cellStyle name="60% - Акцент1 17" xfId="286"/>
    <cellStyle name="60% - Акцент1 18" xfId="287"/>
    <cellStyle name="60% - Акцент1 19" xfId="288"/>
    <cellStyle name="60% - Акцент1 2" xfId="289"/>
    <cellStyle name="60% - Акцент1 20" xfId="290"/>
    <cellStyle name="60% - Акцент1 21" xfId="291"/>
    <cellStyle name="60% - Акцент1 22" xfId="292"/>
    <cellStyle name="60% - Акцент1 23" xfId="293"/>
    <cellStyle name="60% - Акцент1 24" xfId="294"/>
    <cellStyle name="60% - Акцент1 3" xfId="295"/>
    <cellStyle name="60% - Акцент1 4" xfId="296"/>
    <cellStyle name="60% - Акцент1 5" xfId="297"/>
    <cellStyle name="60% - Акцент1 6" xfId="298"/>
    <cellStyle name="60% - Акцент1 7" xfId="299"/>
    <cellStyle name="60% - Акцент1 8" xfId="300"/>
    <cellStyle name="60% - Акцент1 9" xfId="301"/>
    <cellStyle name="60% - Акцент2 10" xfId="302"/>
    <cellStyle name="60% - Акцент2 11" xfId="303"/>
    <cellStyle name="60% - Акцент2 12" xfId="304"/>
    <cellStyle name="60% - Акцент2 13" xfId="305"/>
    <cellStyle name="60% - Акцент2 14" xfId="306"/>
    <cellStyle name="60% - Акцент2 15" xfId="307"/>
    <cellStyle name="60% - Акцент2 16" xfId="308"/>
    <cellStyle name="60% - Акцент2 17" xfId="309"/>
    <cellStyle name="60% - Акцент2 18" xfId="310"/>
    <cellStyle name="60% - Акцент2 19" xfId="311"/>
    <cellStyle name="60% - Акцент2 2" xfId="312"/>
    <cellStyle name="60% - Акцент2 20" xfId="313"/>
    <cellStyle name="60% - Акцент2 21" xfId="314"/>
    <cellStyle name="60% - Акцент2 22" xfId="315"/>
    <cellStyle name="60% - Акцент2 23" xfId="316"/>
    <cellStyle name="60% - Акцент2 24" xfId="317"/>
    <cellStyle name="60% - Акцент2 3" xfId="318"/>
    <cellStyle name="60% - Акцент2 4" xfId="319"/>
    <cellStyle name="60% - Акцент2 5" xfId="320"/>
    <cellStyle name="60% - Акцент2 6" xfId="321"/>
    <cellStyle name="60% - Акцент2 7" xfId="322"/>
    <cellStyle name="60% - Акцент2 8" xfId="323"/>
    <cellStyle name="60% - Акцент2 9" xfId="324"/>
    <cellStyle name="60% - Акцент3 10" xfId="325"/>
    <cellStyle name="60% - Акцент3 11" xfId="326"/>
    <cellStyle name="60% - Акцент3 12" xfId="327"/>
    <cellStyle name="60% - Акцент3 13" xfId="328"/>
    <cellStyle name="60% - Акцент3 14" xfId="329"/>
    <cellStyle name="60% - Акцент3 15" xfId="330"/>
    <cellStyle name="60% - Акцент3 16" xfId="331"/>
    <cellStyle name="60% - Акцент3 17" xfId="332"/>
    <cellStyle name="60% - Акцент3 18" xfId="333"/>
    <cellStyle name="60% - Акцент3 19" xfId="334"/>
    <cellStyle name="60% - Акцент3 2" xfId="335"/>
    <cellStyle name="60% - Акцент3 20" xfId="336"/>
    <cellStyle name="60% - Акцент3 21" xfId="337"/>
    <cellStyle name="60% - Акцент3 22" xfId="338"/>
    <cellStyle name="60% - Акцент3 23" xfId="339"/>
    <cellStyle name="60% - Акцент3 24" xfId="340"/>
    <cellStyle name="60% - Акцент3 3" xfId="341"/>
    <cellStyle name="60% - Акцент3 4" xfId="342"/>
    <cellStyle name="60% - Акцент3 5" xfId="343"/>
    <cellStyle name="60% - Акцент3 6" xfId="344"/>
    <cellStyle name="60% - Акцент3 7" xfId="345"/>
    <cellStyle name="60% - Акцент3 8" xfId="346"/>
    <cellStyle name="60% - Акцент3 9" xfId="347"/>
    <cellStyle name="60% - Акцент4 10" xfId="348"/>
    <cellStyle name="60% - Акцент4 11" xfId="349"/>
    <cellStyle name="60% - Акцент4 12" xfId="350"/>
    <cellStyle name="60% - Акцент4 13" xfId="351"/>
    <cellStyle name="60% - Акцент4 14" xfId="352"/>
    <cellStyle name="60% - Акцент4 15" xfId="353"/>
    <cellStyle name="60% - Акцент4 16" xfId="354"/>
    <cellStyle name="60% - Акцент4 17" xfId="355"/>
    <cellStyle name="60% - Акцент4 18" xfId="356"/>
    <cellStyle name="60% - Акцент4 19" xfId="357"/>
    <cellStyle name="60% - Акцент4 2" xfId="358"/>
    <cellStyle name="60% - Акцент4 20" xfId="359"/>
    <cellStyle name="60% - Акцент4 21" xfId="360"/>
    <cellStyle name="60% - Акцент4 22" xfId="361"/>
    <cellStyle name="60% - Акцент4 23" xfId="362"/>
    <cellStyle name="60% - Акцент4 24" xfId="363"/>
    <cellStyle name="60% - Акцент4 3" xfId="364"/>
    <cellStyle name="60% - Акцент4 4" xfId="365"/>
    <cellStyle name="60% - Акцент4 5" xfId="366"/>
    <cellStyle name="60% - Акцент4 6" xfId="367"/>
    <cellStyle name="60% - Акцент4 7" xfId="368"/>
    <cellStyle name="60% - Акцент4 8" xfId="369"/>
    <cellStyle name="60% - Акцент4 9" xfId="370"/>
    <cellStyle name="60% - Акцент5 10" xfId="371"/>
    <cellStyle name="60% - Акцент5 11" xfId="372"/>
    <cellStyle name="60% - Акцент5 12" xfId="373"/>
    <cellStyle name="60% - Акцент5 13" xfId="374"/>
    <cellStyle name="60% - Акцент5 14" xfId="375"/>
    <cellStyle name="60% - Акцент5 15" xfId="376"/>
    <cellStyle name="60% - Акцент5 16" xfId="377"/>
    <cellStyle name="60% - Акцент5 17" xfId="378"/>
    <cellStyle name="60% - Акцент5 18" xfId="379"/>
    <cellStyle name="60% - Акцент5 19" xfId="380"/>
    <cellStyle name="60% - Акцент5 2" xfId="381"/>
    <cellStyle name="60% - Акцент5 20" xfId="382"/>
    <cellStyle name="60% - Акцент5 21" xfId="383"/>
    <cellStyle name="60% - Акцент5 22" xfId="384"/>
    <cellStyle name="60% - Акцент5 23" xfId="385"/>
    <cellStyle name="60% - Акцент5 24" xfId="386"/>
    <cellStyle name="60% - Акцент5 3" xfId="387"/>
    <cellStyle name="60% - Акцент5 4" xfId="388"/>
    <cellStyle name="60% - Акцент5 5" xfId="389"/>
    <cellStyle name="60% - Акцент5 6" xfId="390"/>
    <cellStyle name="60% - Акцент5 7" xfId="391"/>
    <cellStyle name="60% - Акцент5 8" xfId="392"/>
    <cellStyle name="60% - Акцент5 9" xfId="393"/>
    <cellStyle name="60% - Акцент6 10" xfId="394"/>
    <cellStyle name="60% - Акцент6 11" xfId="395"/>
    <cellStyle name="60% - Акцент6 12" xfId="396"/>
    <cellStyle name="60% - Акцент6 13" xfId="397"/>
    <cellStyle name="60% - Акцент6 14" xfId="398"/>
    <cellStyle name="60% - Акцент6 15" xfId="399"/>
    <cellStyle name="60% - Акцент6 16" xfId="400"/>
    <cellStyle name="60% - Акцент6 17" xfId="401"/>
    <cellStyle name="60% - Акцент6 18" xfId="402"/>
    <cellStyle name="60% - Акцент6 19" xfId="403"/>
    <cellStyle name="60% - Акцент6 2" xfId="404"/>
    <cellStyle name="60% - Акцент6 20" xfId="405"/>
    <cellStyle name="60% - Акцент6 21" xfId="406"/>
    <cellStyle name="60% - Акцент6 22" xfId="407"/>
    <cellStyle name="60% - Акцент6 23" xfId="408"/>
    <cellStyle name="60% - Акцент6 24" xfId="409"/>
    <cellStyle name="60% - Акцент6 3" xfId="410"/>
    <cellStyle name="60% - Акцент6 4" xfId="411"/>
    <cellStyle name="60% - Акцент6 5" xfId="412"/>
    <cellStyle name="60% - Акцент6 6" xfId="413"/>
    <cellStyle name="60% - Акцент6 7" xfId="414"/>
    <cellStyle name="60% - Акцент6 8" xfId="415"/>
    <cellStyle name="60% - Акцент6 9" xfId="416"/>
    <cellStyle name="Normal" xfId="417"/>
    <cellStyle name="Акцент1 10" xfId="418"/>
    <cellStyle name="Акцент1 11" xfId="419"/>
    <cellStyle name="Акцент1 12" xfId="420"/>
    <cellStyle name="Акцент1 13" xfId="421"/>
    <cellStyle name="Акцент1 14" xfId="422"/>
    <cellStyle name="Акцент1 15" xfId="423"/>
    <cellStyle name="Акцент1 16" xfId="424"/>
    <cellStyle name="Акцент1 17" xfId="425"/>
    <cellStyle name="Акцент1 18" xfId="426"/>
    <cellStyle name="Акцент1 19" xfId="427"/>
    <cellStyle name="Акцент1 2" xfId="428"/>
    <cellStyle name="Акцент1 20" xfId="429"/>
    <cellStyle name="Акцент1 21" xfId="430"/>
    <cellStyle name="Акцент1 22" xfId="431"/>
    <cellStyle name="Акцент1 23" xfId="432"/>
    <cellStyle name="Акцент1 24" xfId="433"/>
    <cellStyle name="Акцент1 3" xfId="434"/>
    <cellStyle name="Акцент1 4" xfId="435"/>
    <cellStyle name="Акцент1 5" xfId="436"/>
    <cellStyle name="Акцент1 6" xfId="437"/>
    <cellStyle name="Акцент1 7" xfId="438"/>
    <cellStyle name="Акцент1 8" xfId="439"/>
    <cellStyle name="Акцент1 9" xfId="440"/>
    <cellStyle name="Акцент2 10" xfId="441"/>
    <cellStyle name="Акцент2 11" xfId="442"/>
    <cellStyle name="Акцент2 12" xfId="443"/>
    <cellStyle name="Акцент2 13" xfId="444"/>
    <cellStyle name="Акцент2 14" xfId="445"/>
    <cellStyle name="Акцент2 15" xfId="446"/>
    <cellStyle name="Акцент2 16" xfId="447"/>
    <cellStyle name="Акцент2 17" xfId="448"/>
    <cellStyle name="Акцент2 18" xfId="449"/>
    <cellStyle name="Акцент2 19" xfId="450"/>
    <cellStyle name="Акцент2 2" xfId="451"/>
    <cellStyle name="Акцент2 20" xfId="452"/>
    <cellStyle name="Акцент2 21" xfId="453"/>
    <cellStyle name="Акцент2 22" xfId="454"/>
    <cellStyle name="Акцент2 23" xfId="455"/>
    <cellStyle name="Акцент2 24" xfId="456"/>
    <cellStyle name="Акцент2 3" xfId="457"/>
    <cellStyle name="Акцент2 4" xfId="458"/>
    <cellStyle name="Акцент2 5" xfId="459"/>
    <cellStyle name="Акцент2 6" xfId="460"/>
    <cellStyle name="Акцент2 7" xfId="461"/>
    <cellStyle name="Акцент2 8" xfId="462"/>
    <cellStyle name="Акцент2 9" xfId="463"/>
    <cellStyle name="Акцент3 10" xfId="464"/>
    <cellStyle name="Акцент3 11" xfId="465"/>
    <cellStyle name="Акцент3 12" xfId="466"/>
    <cellStyle name="Акцент3 13" xfId="467"/>
    <cellStyle name="Акцент3 14" xfId="468"/>
    <cellStyle name="Акцент3 15" xfId="469"/>
    <cellStyle name="Акцент3 16" xfId="470"/>
    <cellStyle name="Акцент3 17" xfId="471"/>
    <cellStyle name="Акцент3 18" xfId="472"/>
    <cellStyle name="Акцент3 19" xfId="473"/>
    <cellStyle name="Акцент3 2" xfId="474"/>
    <cellStyle name="Акцент3 20" xfId="475"/>
    <cellStyle name="Акцент3 21" xfId="476"/>
    <cellStyle name="Акцент3 22" xfId="477"/>
    <cellStyle name="Акцент3 23" xfId="478"/>
    <cellStyle name="Акцент3 24" xfId="479"/>
    <cellStyle name="Акцент3 3" xfId="480"/>
    <cellStyle name="Акцент3 4" xfId="481"/>
    <cellStyle name="Акцент3 5" xfId="482"/>
    <cellStyle name="Акцент3 6" xfId="483"/>
    <cellStyle name="Акцент3 7" xfId="484"/>
    <cellStyle name="Акцент3 8" xfId="485"/>
    <cellStyle name="Акцент3 9" xfId="486"/>
    <cellStyle name="Акцент4 10" xfId="487"/>
    <cellStyle name="Акцент4 11" xfId="488"/>
    <cellStyle name="Акцент4 12" xfId="489"/>
    <cellStyle name="Акцент4 13" xfId="490"/>
    <cellStyle name="Акцент4 14" xfId="491"/>
    <cellStyle name="Акцент4 15" xfId="492"/>
    <cellStyle name="Акцент4 16" xfId="493"/>
    <cellStyle name="Акцент4 17" xfId="494"/>
    <cellStyle name="Акцент4 18" xfId="495"/>
    <cellStyle name="Акцент4 19" xfId="496"/>
    <cellStyle name="Акцент4 2" xfId="497"/>
    <cellStyle name="Акцент4 20" xfId="498"/>
    <cellStyle name="Акцент4 21" xfId="499"/>
    <cellStyle name="Акцент4 22" xfId="500"/>
    <cellStyle name="Акцент4 23" xfId="501"/>
    <cellStyle name="Акцент4 24" xfId="502"/>
    <cellStyle name="Акцент4 3" xfId="503"/>
    <cellStyle name="Акцент4 4" xfId="504"/>
    <cellStyle name="Акцент4 5" xfId="505"/>
    <cellStyle name="Акцент4 6" xfId="506"/>
    <cellStyle name="Акцент4 7" xfId="507"/>
    <cellStyle name="Акцент4 8" xfId="508"/>
    <cellStyle name="Акцент4 9" xfId="509"/>
    <cellStyle name="Акцент5 10" xfId="510"/>
    <cellStyle name="Акцент5 11" xfId="511"/>
    <cellStyle name="Акцент5 12" xfId="512"/>
    <cellStyle name="Акцент5 13" xfId="513"/>
    <cellStyle name="Акцент5 14" xfId="514"/>
    <cellStyle name="Акцент5 15" xfId="515"/>
    <cellStyle name="Акцент5 16" xfId="516"/>
    <cellStyle name="Акцент5 17" xfId="517"/>
    <cellStyle name="Акцент5 18" xfId="518"/>
    <cellStyle name="Акцент5 19" xfId="519"/>
    <cellStyle name="Акцент5 2" xfId="520"/>
    <cellStyle name="Акцент5 20" xfId="521"/>
    <cellStyle name="Акцент5 21" xfId="522"/>
    <cellStyle name="Акцент5 22" xfId="523"/>
    <cellStyle name="Акцент5 23" xfId="524"/>
    <cellStyle name="Акцент5 24" xfId="525"/>
    <cellStyle name="Акцент5 3" xfId="526"/>
    <cellStyle name="Акцент5 4" xfId="527"/>
    <cellStyle name="Акцент5 5" xfId="528"/>
    <cellStyle name="Акцент5 6" xfId="529"/>
    <cellStyle name="Акцент5 7" xfId="530"/>
    <cellStyle name="Акцент5 8" xfId="531"/>
    <cellStyle name="Акцент5 9" xfId="532"/>
    <cellStyle name="Акцент6 10" xfId="533"/>
    <cellStyle name="Акцент6 11" xfId="534"/>
    <cellStyle name="Акцент6 12" xfId="535"/>
    <cellStyle name="Акцент6 13" xfId="536"/>
    <cellStyle name="Акцент6 14" xfId="537"/>
    <cellStyle name="Акцент6 15" xfId="538"/>
    <cellStyle name="Акцент6 16" xfId="539"/>
    <cellStyle name="Акцент6 17" xfId="540"/>
    <cellStyle name="Акцент6 18" xfId="541"/>
    <cellStyle name="Акцент6 19" xfId="542"/>
    <cellStyle name="Акцент6 2" xfId="543"/>
    <cellStyle name="Акцент6 20" xfId="544"/>
    <cellStyle name="Акцент6 21" xfId="545"/>
    <cellStyle name="Акцент6 22" xfId="546"/>
    <cellStyle name="Акцент6 23" xfId="547"/>
    <cellStyle name="Акцент6 24" xfId="548"/>
    <cellStyle name="Акцент6 3" xfId="549"/>
    <cellStyle name="Акцент6 4" xfId="550"/>
    <cellStyle name="Акцент6 5" xfId="551"/>
    <cellStyle name="Акцент6 6" xfId="552"/>
    <cellStyle name="Акцент6 7" xfId="553"/>
    <cellStyle name="Акцент6 8" xfId="554"/>
    <cellStyle name="Акцент6 9" xfId="555"/>
    <cellStyle name="Ввод  10" xfId="556"/>
    <cellStyle name="Ввод  11" xfId="557"/>
    <cellStyle name="Ввод  12" xfId="558"/>
    <cellStyle name="Ввод  13" xfId="559"/>
    <cellStyle name="Ввод  14" xfId="560"/>
    <cellStyle name="Ввод  15" xfId="561"/>
    <cellStyle name="Ввод  16" xfId="562"/>
    <cellStyle name="Ввод  17" xfId="563"/>
    <cellStyle name="Ввод  18" xfId="564"/>
    <cellStyle name="Ввод  19" xfId="565"/>
    <cellStyle name="Ввод  2" xfId="566"/>
    <cellStyle name="Ввод  20" xfId="567"/>
    <cellStyle name="Ввод  21" xfId="568"/>
    <cellStyle name="Ввод  22" xfId="569"/>
    <cellStyle name="Ввод  23" xfId="570"/>
    <cellStyle name="Ввод  24" xfId="571"/>
    <cellStyle name="Ввод  3" xfId="572"/>
    <cellStyle name="Ввод  4" xfId="573"/>
    <cellStyle name="Ввод  5" xfId="574"/>
    <cellStyle name="Ввод  6" xfId="575"/>
    <cellStyle name="Ввод  7" xfId="576"/>
    <cellStyle name="Ввод  8" xfId="577"/>
    <cellStyle name="Ввод  9" xfId="578"/>
    <cellStyle name="Вывод 10" xfId="579"/>
    <cellStyle name="Вывод 11" xfId="580"/>
    <cellStyle name="Вывод 12" xfId="581"/>
    <cellStyle name="Вывод 13" xfId="582"/>
    <cellStyle name="Вывод 14" xfId="583"/>
    <cellStyle name="Вывод 15" xfId="584"/>
    <cellStyle name="Вывод 16" xfId="585"/>
    <cellStyle name="Вывод 17" xfId="586"/>
    <cellStyle name="Вывод 18" xfId="587"/>
    <cellStyle name="Вывод 19" xfId="588"/>
    <cellStyle name="Вывод 2" xfId="589"/>
    <cellStyle name="Вывод 20" xfId="590"/>
    <cellStyle name="Вывод 21" xfId="591"/>
    <cellStyle name="Вывод 22" xfId="592"/>
    <cellStyle name="Вывод 23" xfId="593"/>
    <cellStyle name="Вывод 24" xfId="594"/>
    <cellStyle name="Вывод 3" xfId="595"/>
    <cellStyle name="Вывод 4" xfId="596"/>
    <cellStyle name="Вывод 5" xfId="597"/>
    <cellStyle name="Вывод 6" xfId="598"/>
    <cellStyle name="Вывод 7" xfId="599"/>
    <cellStyle name="Вывод 8" xfId="600"/>
    <cellStyle name="Вывод 9" xfId="601"/>
    <cellStyle name="Вычисление 10" xfId="602"/>
    <cellStyle name="Вычисление 11" xfId="603"/>
    <cellStyle name="Вычисление 12" xfId="604"/>
    <cellStyle name="Вычисление 13" xfId="605"/>
    <cellStyle name="Вычисление 14" xfId="606"/>
    <cellStyle name="Вычисление 15" xfId="607"/>
    <cellStyle name="Вычисление 16" xfId="608"/>
    <cellStyle name="Вычисление 17" xfId="609"/>
    <cellStyle name="Вычисление 18" xfId="610"/>
    <cellStyle name="Вычисление 19" xfId="611"/>
    <cellStyle name="Вычисление 2" xfId="612"/>
    <cellStyle name="Вычисление 20" xfId="613"/>
    <cellStyle name="Вычисление 21" xfId="614"/>
    <cellStyle name="Вычисление 22" xfId="615"/>
    <cellStyle name="Вычисление 23" xfId="616"/>
    <cellStyle name="Вычисление 24" xfId="617"/>
    <cellStyle name="Вычисление 3" xfId="618"/>
    <cellStyle name="Вычисление 4" xfId="619"/>
    <cellStyle name="Вычисление 5" xfId="620"/>
    <cellStyle name="Вычисление 6" xfId="621"/>
    <cellStyle name="Вычисление 7" xfId="622"/>
    <cellStyle name="Вычисление 8" xfId="623"/>
    <cellStyle name="Вычисление 9" xfId="624"/>
    <cellStyle name="Данные (редактируемые)" xfId="625"/>
    <cellStyle name="Данные (только для чтения)" xfId="626"/>
    <cellStyle name="Данные для удаления" xfId="627"/>
    <cellStyle name="Заголовки полей" xfId="628"/>
    <cellStyle name="Заголовки полей [печать]" xfId="629"/>
    <cellStyle name="Заголовок 1 10" xfId="630"/>
    <cellStyle name="Заголовок 1 11" xfId="631"/>
    <cellStyle name="Заголовок 1 12" xfId="632"/>
    <cellStyle name="Заголовок 1 13" xfId="633"/>
    <cellStyle name="Заголовок 1 14" xfId="634"/>
    <cellStyle name="Заголовок 1 15" xfId="635"/>
    <cellStyle name="Заголовок 1 16" xfId="636"/>
    <cellStyle name="Заголовок 1 17" xfId="637"/>
    <cellStyle name="Заголовок 1 18" xfId="638"/>
    <cellStyle name="Заголовок 1 19" xfId="639"/>
    <cellStyle name="Заголовок 1 2" xfId="640"/>
    <cellStyle name="Заголовок 1 20" xfId="641"/>
    <cellStyle name="Заголовок 1 21" xfId="642"/>
    <cellStyle name="Заголовок 1 22" xfId="643"/>
    <cellStyle name="Заголовок 1 23" xfId="644"/>
    <cellStyle name="Заголовок 1 24" xfId="645"/>
    <cellStyle name="Заголовок 1 3" xfId="646"/>
    <cellStyle name="Заголовок 1 4" xfId="647"/>
    <cellStyle name="Заголовок 1 5" xfId="648"/>
    <cellStyle name="Заголовок 1 6" xfId="649"/>
    <cellStyle name="Заголовок 1 7" xfId="650"/>
    <cellStyle name="Заголовок 1 8" xfId="651"/>
    <cellStyle name="Заголовок 1 9" xfId="652"/>
    <cellStyle name="Заголовок 2 10" xfId="653"/>
    <cellStyle name="Заголовок 2 11" xfId="654"/>
    <cellStyle name="Заголовок 2 12" xfId="655"/>
    <cellStyle name="Заголовок 2 13" xfId="656"/>
    <cellStyle name="Заголовок 2 14" xfId="657"/>
    <cellStyle name="Заголовок 2 15" xfId="658"/>
    <cellStyle name="Заголовок 2 16" xfId="659"/>
    <cellStyle name="Заголовок 2 17" xfId="660"/>
    <cellStyle name="Заголовок 2 18" xfId="661"/>
    <cellStyle name="Заголовок 2 19" xfId="662"/>
    <cellStyle name="Заголовок 2 2" xfId="663"/>
    <cellStyle name="Заголовок 2 20" xfId="664"/>
    <cellStyle name="Заголовок 2 21" xfId="665"/>
    <cellStyle name="Заголовок 2 22" xfId="666"/>
    <cellStyle name="Заголовок 2 23" xfId="667"/>
    <cellStyle name="Заголовок 2 24" xfId="668"/>
    <cellStyle name="Заголовок 2 3" xfId="669"/>
    <cellStyle name="Заголовок 2 4" xfId="670"/>
    <cellStyle name="Заголовок 2 5" xfId="671"/>
    <cellStyle name="Заголовок 2 6" xfId="672"/>
    <cellStyle name="Заголовок 2 7" xfId="673"/>
    <cellStyle name="Заголовок 2 8" xfId="674"/>
    <cellStyle name="Заголовок 2 9" xfId="675"/>
    <cellStyle name="Заголовок 3 10" xfId="676"/>
    <cellStyle name="Заголовок 3 11" xfId="677"/>
    <cellStyle name="Заголовок 3 12" xfId="678"/>
    <cellStyle name="Заголовок 3 13" xfId="679"/>
    <cellStyle name="Заголовок 3 14" xfId="680"/>
    <cellStyle name="Заголовок 3 15" xfId="681"/>
    <cellStyle name="Заголовок 3 16" xfId="682"/>
    <cellStyle name="Заголовок 3 17" xfId="683"/>
    <cellStyle name="Заголовок 3 18" xfId="684"/>
    <cellStyle name="Заголовок 3 19" xfId="685"/>
    <cellStyle name="Заголовок 3 2" xfId="686"/>
    <cellStyle name="Заголовок 3 20" xfId="687"/>
    <cellStyle name="Заголовок 3 21" xfId="688"/>
    <cellStyle name="Заголовок 3 22" xfId="689"/>
    <cellStyle name="Заголовок 3 23" xfId="690"/>
    <cellStyle name="Заголовок 3 24" xfId="691"/>
    <cellStyle name="Заголовок 3 3" xfId="692"/>
    <cellStyle name="Заголовок 3 4" xfId="693"/>
    <cellStyle name="Заголовок 3 5" xfId="694"/>
    <cellStyle name="Заголовок 3 6" xfId="695"/>
    <cellStyle name="Заголовок 3 7" xfId="696"/>
    <cellStyle name="Заголовок 3 8" xfId="697"/>
    <cellStyle name="Заголовок 3 9" xfId="698"/>
    <cellStyle name="Заголовок 4 10" xfId="699"/>
    <cellStyle name="Заголовок 4 11" xfId="700"/>
    <cellStyle name="Заголовок 4 12" xfId="701"/>
    <cellStyle name="Заголовок 4 13" xfId="702"/>
    <cellStyle name="Заголовок 4 14" xfId="703"/>
    <cellStyle name="Заголовок 4 15" xfId="704"/>
    <cellStyle name="Заголовок 4 16" xfId="705"/>
    <cellStyle name="Заголовок 4 17" xfId="706"/>
    <cellStyle name="Заголовок 4 18" xfId="707"/>
    <cellStyle name="Заголовок 4 19" xfId="708"/>
    <cellStyle name="Заголовок 4 2" xfId="709"/>
    <cellStyle name="Заголовок 4 20" xfId="710"/>
    <cellStyle name="Заголовок 4 21" xfId="711"/>
    <cellStyle name="Заголовок 4 22" xfId="712"/>
    <cellStyle name="Заголовок 4 23" xfId="713"/>
    <cellStyle name="Заголовок 4 24" xfId="714"/>
    <cellStyle name="Заголовок 4 3" xfId="715"/>
    <cellStyle name="Заголовок 4 4" xfId="716"/>
    <cellStyle name="Заголовок 4 5" xfId="717"/>
    <cellStyle name="Заголовок 4 6" xfId="718"/>
    <cellStyle name="Заголовок 4 7" xfId="719"/>
    <cellStyle name="Заголовок 4 8" xfId="720"/>
    <cellStyle name="Заголовок 4 9" xfId="721"/>
    <cellStyle name="Заголовок меры" xfId="722"/>
    <cellStyle name="Заголовок показателя [печать]" xfId="723"/>
    <cellStyle name="Заголовок показателя константы" xfId="724"/>
    <cellStyle name="Заголовок результата расчета" xfId="725"/>
    <cellStyle name="Заголовок свободного показателя" xfId="726"/>
    <cellStyle name="Значение фильтра" xfId="727"/>
    <cellStyle name="Значение фильтра [печать]" xfId="728"/>
    <cellStyle name="Информация о задаче" xfId="729"/>
    <cellStyle name="Итог 10" xfId="730"/>
    <cellStyle name="Итог 11" xfId="731"/>
    <cellStyle name="Итог 12" xfId="732"/>
    <cellStyle name="Итог 13" xfId="733"/>
    <cellStyle name="Итог 14" xfId="734"/>
    <cellStyle name="Итог 15" xfId="735"/>
    <cellStyle name="Итог 16" xfId="736"/>
    <cellStyle name="Итог 17" xfId="737"/>
    <cellStyle name="Итог 18" xfId="738"/>
    <cellStyle name="Итог 19" xfId="739"/>
    <cellStyle name="Итог 2" xfId="740"/>
    <cellStyle name="Итог 20" xfId="741"/>
    <cellStyle name="Итог 21" xfId="742"/>
    <cellStyle name="Итог 22" xfId="743"/>
    <cellStyle name="Итог 23" xfId="744"/>
    <cellStyle name="Итог 24" xfId="745"/>
    <cellStyle name="Итог 3" xfId="746"/>
    <cellStyle name="Итог 4" xfId="747"/>
    <cellStyle name="Итог 5" xfId="748"/>
    <cellStyle name="Итог 6" xfId="749"/>
    <cellStyle name="Итог 7" xfId="750"/>
    <cellStyle name="Итог 8" xfId="751"/>
    <cellStyle name="Итог 9" xfId="752"/>
    <cellStyle name="Контрольная ячейка 10" xfId="753"/>
    <cellStyle name="Контрольная ячейка 11" xfId="754"/>
    <cellStyle name="Контрольная ячейка 12" xfId="755"/>
    <cellStyle name="Контрольная ячейка 13" xfId="756"/>
    <cellStyle name="Контрольная ячейка 14" xfId="757"/>
    <cellStyle name="Контрольная ячейка 15" xfId="758"/>
    <cellStyle name="Контрольная ячейка 16" xfId="759"/>
    <cellStyle name="Контрольная ячейка 17" xfId="760"/>
    <cellStyle name="Контрольная ячейка 18" xfId="761"/>
    <cellStyle name="Контрольная ячейка 19" xfId="762"/>
    <cellStyle name="Контрольная ячейка 2" xfId="763"/>
    <cellStyle name="Контрольная ячейка 20" xfId="764"/>
    <cellStyle name="Контрольная ячейка 21" xfId="765"/>
    <cellStyle name="Контрольная ячейка 22" xfId="766"/>
    <cellStyle name="Контрольная ячейка 23" xfId="767"/>
    <cellStyle name="Контрольная ячейка 24" xfId="768"/>
    <cellStyle name="Контрольная ячейка 3" xfId="769"/>
    <cellStyle name="Контрольная ячейка 4" xfId="770"/>
    <cellStyle name="Контрольная ячейка 5" xfId="771"/>
    <cellStyle name="Контрольная ячейка 6" xfId="772"/>
    <cellStyle name="Контрольная ячейка 7" xfId="773"/>
    <cellStyle name="Контрольная ячейка 8" xfId="774"/>
    <cellStyle name="Контрольная ячейка 9" xfId="775"/>
    <cellStyle name="Название 10" xfId="776"/>
    <cellStyle name="Название 11" xfId="777"/>
    <cellStyle name="Название 12" xfId="778"/>
    <cellStyle name="Название 13" xfId="779"/>
    <cellStyle name="Название 14" xfId="780"/>
    <cellStyle name="Название 15" xfId="781"/>
    <cellStyle name="Название 16" xfId="782"/>
    <cellStyle name="Название 17" xfId="783"/>
    <cellStyle name="Название 18" xfId="784"/>
    <cellStyle name="Название 19" xfId="785"/>
    <cellStyle name="Название 2" xfId="786"/>
    <cellStyle name="Название 20" xfId="787"/>
    <cellStyle name="Название 21" xfId="788"/>
    <cellStyle name="Название 22" xfId="789"/>
    <cellStyle name="Название 23" xfId="790"/>
    <cellStyle name="Название 24" xfId="791"/>
    <cellStyle name="Название 3" xfId="792"/>
    <cellStyle name="Название 4" xfId="793"/>
    <cellStyle name="Название 5" xfId="794"/>
    <cellStyle name="Название 6" xfId="795"/>
    <cellStyle name="Название 7" xfId="796"/>
    <cellStyle name="Название 8" xfId="797"/>
    <cellStyle name="Название 9" xfId="798"/>
    <cellStyle name="Нейтральный 10" xfId="799"/>
    <cellStyle name="Нейтральный 11" xfId="800"/>
    <cellStyle name="Нейтральный 12" xfId="801"/>
    <cellStyle name="Нейтральный 13" xfId="802"/>
    <cellStyle name="Нейтральный 14" xfId="803"/>
    <cellStyle name="Нейтральный 15" xfId="804"/>
    <cellStyle name="Нейтральный 16" xfId="805"/>
    <cellStyle name="Нейтральный 17" xfId="806"/>
    <cellStyle name="Нейтральный 18" xfId="807"/>
    <cellStyle name="Нейтральный 19" xfId="808"/>
    <cellStyle name="Нейтральный 2" xfId="809"/>
    <cellStyle name="Нейтральный 20" xfId="810"/>
    <cellStyle name="Нейтральный 21" xfId="811"/>
    <cellStyle name="Нейтральный 22" xfId="812"/>
    <cellStyle name="Нейтральный 23" xfId="813"/>
    <cellStyle name="Нейтральный 24" xfId="814"/>
    <cellStyle name="Нейтральный 3" xfId="815"/>
    <cellStyle name="Нейтральный 4" xfId="816"/>
    <cellStyle name="Нейтральный 5" xfId="817"/>
    <cellStyle name="Нейтральный 6" xfId="818"/>
    <cellStyle name="Нейтральный 7" xfId="819"/>
    <cellStyle name="Нейтральный 8" xfId="820"/>
    <cellStyle name="Нейтральный 9" xfId="821"/>
    <cellStyle name="Обычный" xfId="0" builtinId="0"/>
    <cellStyle name="Обычный 10" xfId="822"/>
    <cellStyle name="Обычный 11" xfId="823"/>
    <cellStyle name="Обычный 11 2" xfId="824"/>
    <cellStyle name="Обычный 12" xfId="825"/>
    <cellStyle name="Обычный 12 2" xfId="826"/>
    <cellStyle name="Обычный 13" xfId="827"/>
    <cellStyle name="Обычный 13 2" xfId="1060"/>
    <cellStyle name="Обычный 14" xfId="828"/>
    <cellStyle name="Обычный 15" xfId="829"/>
    <cellStyle name="Обычный 16" xfId="830"/>
    <cellStyle name="Обычный 17" xfId="831"/>
    <cellStyle name="Обычный 18" xfId="832"/>
    <cellStyle name="Обычный 19" xfId="833"/>
    <cellStyle name="Обычный 2" xfId="834"/>
    <cellStyle name="Обычный 2 10" xfId="1061"/>
    <cellStyle name="Обычный 2 11" xfId="1062"/>
    <cellStyle name="Обычный 2 12" xfId="1063"/>
    <cellStyle name="Обычный 2 13" xfId="1064"/>
    <cellStyle name="Обычный 2 14" xfId="1065"/>
    <cellStyle name="Обычный 2 15" xfId="1066"/>
    <cellStyle name="Обычный 2 16" xfId="1067"/>
    <cellStyle name="Обычный 2 17" xfId="1068"/>
    <cellStyle name="Обычный 2 18" xfId="1069"/>
    <cellStyle name="Обычный 2 19" xfId="1070"/>
    <cellStyle name="Обычный 2 2" xfId="835"/>
    <cellStyle name="Обычный 2 2 2" xfId="836"/>
    <cellStyle name="Обычный 2 2 3" xfId="837"/>
    <cellStyle name="Обычный 2 2 4" xfId="1079"/>
    <cellStyle name="Обычный 2 20" xfId="1071"/>
    <cellStyle name="Обычный 2 21" xfId="1072"/>
    <cellStyle name="Обычный 2 22" xfId="1073"/>
    <cellStyle name="Обычный 2 23" xfId="1074"/>
    <cellStyle name="Обычный 2 24" xfId="838"/>
    <cellStyle name="Обычный 2 24 2" xfId="839"/>
    <cellStyle name="Обычный 2 3" xfId="840"/>
    <cellStyle name="Обычный 2 3 2" xfId="841"/>
    <cellStyle name="Обычный 2 3 3" xfId="1075"/>
    <cellStyle name="Обычный 2 4" xfId="842"/>
    <cellStyle name="Обычный 2 5" xfId="843"/>
    <cellStyle name="Обычный 2 6" xfId="844"/>
    <cellStyle name="Обычный 2 7" xfId="845"/>
    <cellStyle name="Обычный 2 8" xfId="846"/>
    <cellStyle name="Обычный 2 9" xfId="1076"/>
    <cellStyle name="Обычный 20" xfId="847"/>
    <cellStyle name="Обычный 21" xfId="848"/>
    <cellStyle name="Обычный 22" xfId="849"/>
    <cellStyle name="Обычный 23" xfId="850"/>
    <cellStyle name="Обычный 24" xfId="851"/>
    <cellStyle name="Обычный 25" xfId="852"/>
    <cellStyle name="Обычный 26" xfId="853"/>
    <cellStyle name="Обычный 27" xfId="2"/>
    <cellStyle name="Обычный 27 2" xfId="1078"/>
    <cellStyle name="Обычный 28" xfId="854"/>
    <cellStyle name="Обычный 29" xfId="855"/>
    <cellStyle name="Обычный 3" xfId="856"/>
    <cellStyle name="Обычный 3 2" xfId="857"/>
    <cellStyle name="Обычный 3 2 2" xfId="858"/>
    <cellStyle name="Обычный 3 2 2 2 2" xfId="859"/>
    <cellStyle name="Обычный 3 2 2 2 2 2" xfId="860"/>
    <cellStyle name="Обычный 3 2 3" xfId="861"/>
    <cellStyle name="Обычный 3 3" xfId="862"/>
    <cellStyle name="Обычный 3 4" xfId="863"/>
    <cellStyle name="Обычный 3 5" xfId="864"/>
    <cellStyle name="Обычный 3 6" xfId="865"/>
    <cellStyle name="Обычный 3 6 2" xfId="1057"/>
    <cellStyle name="Обычный 3 6 2 2" xfId="1082"/>
    <cellStyle name="Обычный 30" xfId="866"/>
    <cellStyle name="Обычный 31" xfId="867"/>
    <cellStyle name="Обычный 32" xfId="868"/>
    <cellStyle name="Обычный 33" xfId="869"/>
    <cellStyle name="Обычный 34" xfId="870"/>
    <cellStyle name="Обычный 35" xfId="871"/>
    <cellStyle name="Обычный 36" xfId="872"/>
    <cellStyle name="Обычный 37" xfId="873"/>
    <cellStyle name="Обычный 38" xfId="874"/>
    <cellStyle name="Обычный 39" xfId="1054"/>
    <cellStyle name="Обычный 4" xfId="875"/>
    <cellStyle name="Обычный 4 2" xfId="876"/>
    <cellStyle name="Обычный 4 3" xfId="877"/>
    <cellStyle name="Обычный 4 4" xfId="878"/>
    <cellStyle name="Обычный 4 5" xfId="1058"/>
    <cellStyle name="Обычный 4 5 2" xfId="1083"/>
    <cellStyle name="Обычный 5" xfId="879"/>
    <cellStyle name="Обычный 5 2" xfId="880"/>
    <cellStyle name="Обычный 6" xfId="881"/>
    <cellStyle name="Обычный 6 2" xfId="882"/>
    <cellStyle name="Обычный 6 2 2" xfId="883"/>
    <cellStyle name="Обычный 6 2 3" xfId="884"/>
    <cellStyle name="Обычный 6 3" xfId="885"/>
    <cellStyle name="Обычный 6 4" xfId="886"/>
    <cellStyle name="Обычный 6 5" xfId="887"/>
    <cellStyle name="Обычный 7" xfId="888"/>
    <cellStyle name="Обычный 7 2" xfId="889"/>
    <cellStyle name="Обычный 7 3" xfId="890"/>
    <cellStyle name="Обычный 8" xfId="891"/>
    <cellStyle name="Обычный 9" xfId="892"/>
    <cellStyle name="Отдельная ячейка" xfId="893"/>
    <cellStyle name="Отдельная ячейка - константа" xfId="894"/>
    <cellStyle name="Отдельная ячейка - константа [печать]" xfId="895"/>
    <cellStyle name="Отдельная ячейка [печать]" xfId="896"/>
    <cellStyle name="Отдельная ячейка-результат" xfId="897"/>
    <cellStyle name="Отдельная ячейка-результат [печать]" xfId="898"/>
    <cellStyle name="Плохой 10" xfId="899"/>
    <cellStyle name="Плохой 11" xfId="900"/>
    <cellStyle name="Плохой 12" xfId="901"/>
    <cellStyle name="Плохой 13" xfId="902"/>
    <cellStyle name="Плохой 14" xfId="903"/>
    <cellStyle name="Плохой 15" xfId="904"/>
    <cellStyle name="Плохой 16" xfId="905"/>
    <cellStyle name="Плохой 17" xfId="906"/>
    <cellStyle name="Плохой 18" xfId="907"/>
    <cellStyle name="Плохой 19" xfId="908"/>
    <cellStyle name="Плохой 2" xfId="909"/>
    <cellStyle name="Плохой 20" xfId="910"/>
    <cellStyle name="Плохой 21" xfId="911"/>
    <cellStyle name="Плохой 22" xfId="912"/>
    <cellStyle name="Плохой 23" xfId="913"/>
    <cellStyle name="Плохой 24" xfId="914"/>
    <cellStyle name="Плохой 3" xfId="915"/>
    <cellStyle name="Плохой 4" xfId="916"/>
    <cellStyle name="Плохой 5" xfId="917"/>
    <cellStyle name="Плохой 6" xfId="918"/>
    <cellStyle name="Плохой 7" xfId="919"/>
    <cellStyle name="Плохой 8" xfId="920"/>
    <cellStyle name="Плохой 9" xfId="921"/>
    <cellStyle name="Пояснение 10" xfId="922"/>
    <cellStyle name="Пояснение 11" xfId="923"/>
    <cellStyle name="Пояснение 12" xfId="924"/>
    <cellStyle name="Пояснение 13" xfId="925"/>
    <cellStyle name="Пояснение 14" xfId="926"/>
    <cellStyle name="Пояснение 15" xfId="927"/>
    <cellStyle name="Пояснение 16" xfId="928"/>
    <cellStyle name="Пояснение 17" xfId="929"/>
    <cellStyle name="Пояснение 18" xfId="930"/>
    <cellStyle name="Пояснение 19" xfId="931"/>
    <cellStyle name="Пояснение 2" xfId="932"/>
    <cellStyle name="Пояснение 20" xfId="933"/>
    <cellStyle name="Пояснение 21" xfId="934"/>
    <cellStyle name="Пояснение 22" xfId="935"/>
    <cellStyle name="Пояснение 23" xfId="936"/>
    <cellStyle name="Пояснение 24" xfId="937"/>
    <cellStyle name="Пояснение 3" xfId="938"/>
    <cellStyle name="Пояснение 4" xfId="939"/>
    <cellStyle name="Пояснение 5" xfId="940"/>
    <cellStyle name="Пояснение 6" xfId="941"/>
    <cellStyle name="Пояснение 7" xfId="942"/>
    <cellStyle name="Пояснение 8" xfId="943"/>
    <cellStyle name="Пояснение 9" xfId="944"/>
    <cellStyle name="Примечание 10" xfId="945"/>
    <cellStyle name="Примечание 11" xfId="946"/>
    <cellStyle name="Примечание 12" xfId="947"/>
    <cellStyle name="Примечание 13" xfId="948"/>
    <cellStyle name="Примечание 14" xfId="949"/>
    <cellStyle name="Примечание 15" xfId="950"/>
    <cellStyle name="Примечание 16" xfId="951"/>
    <cellStyle name="Примечание 17" xfId="952"/>
    <cellStyle name="Примечание 18" xfId="953"/>
    <cellStyle name="Примечание 19" xfId="954"/>
    <cellStyle name="Примечание 2" xfId="955"/>
    <cellStyle name="Примечание 20" xfId="956"/>
    <cellStyle name="Примечание 21" xfId="957"/>
    <cellStyle name="Примечание 22" xfId="958"/>
    <cellStyle name="Примечание 23" xfId="959"/>
    <cellStyle name="Примечание 24" xfId="960"/>
    <cellStyle name="Примечание 3" xfId="961"/>
    <cellStyle name="Примечание 3 2" xfId="962"/>
    <cellStyle name="Примечание 4" xfId="963"/>
    <cellStyle name="Примечание 5" xfId="964"/>
    <cellStyle name="Примечание 6" xfId="965"/>
    <cellStyle name="Примечание 7" xfId="966"/>
    <cellStyle name="Примечание 8" xfId="967"/>
    <cellStyle name="Примечание 9" xfId="968"/>
    <cellStyle name="Процентный" xfId="1056" builtinId="5"/>
    <cellStyle name="Процентный 2" xfId="1077"/>
    <cellStyle name="Процентный 3" xfId="969"/>
    <cellStyle name="Свойства элементов измерения" xfId="970"/>
    <cellStyle name="Свойства элементов измерения [печать]" xfId="971"/>
    <cellStyle name="Связанная ячейка 10" xfId="972"/>
    <cellStyle name="Связанная ячейка 11" xfId="973"/>
    <cellStyle name="Связанная ячейка 12" xfId="974"/>
    <cellStyle name="Связанная ячейка 13" xfId="975"/>
    <cellStyle name="Связанная ячейка 14" xfId="976"/>
    <cellStyle name="Связанная ячейка 15" xfId="977"/>
    <cellStyle name="Связанная ячейка 16" xfId="978"/>
    <cellStyle name="Связанная ячейка 17" xfId="979"/>
    <cellStyle name="Связанная ячейка 18" xfId="980"/>
    <cellStyle name="Связанная ячейка 19" xfId="981"/>
    <cellStyle name="Связанная ячейка 2" xfId="982"/>
    <cellStyle name="Связанная ячейка 20" xfId="983"/>
    <cellStyle name="Связанная ячейка 21" xfId="984"/>
    <cellStyle name="Связанная ячейка 22" xfId="985"/>
    <cellStyle name="Связанная ячейка 23" xfId="986"/>
    <cellStyle name="Связанная ячейка 24" xfId="987"/>
    <cellStyle name="Связанная ячейка 3" xfId="988"/>
    <cellStyle name="Связанная ячейка 4" xfId="989"/>
    <cellStyle name="Связанная ячейка 5" xfId="990"/>
    <cellStyle name="Связанная ячейка 6" xfId="991"/>
    <cellStyle name="Связанная ячейка 7" xfId="992"/>
    <cellStyle name="Связанная ячейка 8" xfId="993"/>
    <cellStyle name="Связанная ячейка 9" xfId="994"/>
    <cellStyle name="Стиль 1" xfId="995"/>
    <cellStyle name="Текст предупреждения 10" xfId="996"/>
    <cellStyle name="Текст предупреждения 11" xfId="997"/>
    <cellStyle name="Текст предупреждения 12" xfId="998"/>
    <cellStyle name="Текст предупреждения 13" xfId="999"/>
    <cellStyle name="Текст предупреждения 14" xfId="1000"/>
    <cellStyle name="Текст предупреждения 15" xfId="1001"/>
    <cellStyle name="Текст предупреждения 16" xfId="1002"/>
    <cellStyle name="Текст предупреждения 17" xfId="1003"/>
    <cellStyle name="Текст предупреждения 18" xfId="1004"/>
    <cellStyle name="Текст предупреждения 19" xfId="1005"/>
    <cellStyle name="Текст предупреждения 2" xfId="1006"/>
    <cellStyle name="Текст предупреждения 20" xfId="1007"/>
    <cellStyle name="Текст предупреждения 21" xfId="1008"/>
    <cellStyle name="Текст предупреждения 22" xfId="1009"/>
    <cellStyle name="Текст предупреждения 23" xfId="1010"/>
    <cellStyle name="Текст предупреждения 24" xfId="1011"/>
    <cellStyle name="Текст предупреждения 3" xfId="1012"/>
    <cellStyle name="Текст предупреждения 4" xfId="1013"/>
    <cellStyle name="Текст предупреждения 5" xfId="1014"/>
    <cellStyle name="Текст предупреждения 6" xfId="1015"/>
    <cellStyle name="Текст предупреждения 7" xfId="1016"/>
    <cellStyle name="Текст предупреждения 8" xfId="1017"/>
    <cellStyle name="Текст предупреждения 9" xfId="1018"/>
    <cellStyle name="Финансовый" xfId="1" builtinId="3"/>
    <cellStyle name="Финансовый 10" xfId="1059"/>
    <cellStyle name="Финансовый 2" xfId="1019"/>
    <cellStyle name="Финансовый 2 2" xfId="1020"/>
    <cellStyle name="Финансовый 2 3" xfId="1021"/>
    <cellStyle name="Финансовый 2 4" xfId="1080"/>
    <cellStyle name="Финансовый 3" xfId="1022"/>
    <cellStyle name="Финансовый 3 2" xfId="1023"/>
    <cellStyle name="Финансовый 4" xfId="1024"/>
    <cellStyle name="Финансовый 5" xfId="1025"/>
    <cellStyle name="Финансовый 6" xfId="1026"/>
    <cellStyle name="Финансовый 6 2" xfId="1081"/>
    <cellStyle name="Финансовый 7" xfId="1027"/>
    <cellStyle name="Финансовый 8" xfId="1028"/>
    <cellStyle name="Финансовый 9" xfId="1055"/>
    <cellStyle name="Хороший 10" xfId="1029"/>
    <cellStyle name="Хороший 11" xfId="1030"/>
    <cellStyle name="Хороший 12" xfId="1031"/>
    <cellStyle name="Хороший 13" xfId="1032"/>
    <cellStyle name="Хороший 14" xfId="1033"/>
    <cellStyle name="Хороший 15" xfId="1034"/>
    <cellStyle name="Хороший 16" xfId="1035"/>
    <cellStyle name="Хороший 17" xfId="1036"/>
    <cellStyle name="Хороший 18" xfId="1037"/>
    <cellStyle name="Хороший 19" xfId="1038"/>
    <cellStyle name="Хороший 2" xfId="1039"/>
    <cellStyle name="Хороший 20" xfId="1040"/>
    <cellStyle name="Хороший 21" xfId="1041"/>
    <cellStyle name="Хороший 22" xfId="1042"/>
    <cellStyle name="Хороший 23" xfId="1043"/>
    <cellStyle name="Хороший 24" xfId="1044"/>
    <cellStyle name="Хороший 3" xfId="1045"/>
    <cellStyle name="Хороший 4" xfId="1046"/>
    <cellStyle name="Хороший 5" xfId="1047"/>
    <cellStyle name="Хороший 6" xfId="1048"/>
    <cellStyle name="Хороший 7" xfId="1049"/>
    <cellStyle name="Хороший 8" xfId="1050"/>
    <cellStyle name="Хороший 9" xfId="1051"/>
    <cellStyle name="Элементы осей" xfId="1052"/>
    <cellStyle name="Элементы осей [печать]" xfId="10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valygNT\Desktop\&#1055;&#1088;&#1086;&#1077;&#1082;&#1090;%202022\&#1055;&#1088;&#1086;&#1077;&#1082;&#1090;&#1099;%20&#1073;&#1102;&#1076;&#1078;&#1077;&#1090;&#1086;&#1074;\&#1052;&#1080;&#1085;&#1079;&#1076;&#1088;&#1072;&#1074;%20-%20&#1052;&#1077;&#1076;&#1082;&#1086;&#1083;&#1083;&#1077;&#1076;&#1078;\&#1052;&#1077;&#1076;&#1086;&#1089;&#1084;&#1086;&#1090;&#1088;&#1099;%20&#1082;%20&#1087;&#1088;&#1086;&#1077;&#1082;&#1090;&#1091;%20&#1073;&#1102;&#1076;&#1078;&#1077;&#1090;&#1072;%2027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потребность"/>
      <sheetName val="ШколыСады"/>
      <sheetName val="ПЦР"/>
      <sheetName val="Образование"/>
      <sheetName val="Здравоохранение"/>
      <sheetName val="Социальная политика"/>
      <sheetName val="Общая потребность (2)"/>
      <sheetName val="Итогг с ПЦР"/>
      <sheetName val="Итогг"/>
      <sheetName val="Педработники"/>
      <sheetName val="Педработники Д"/>
      <sheetName val="Медработники"/>
      <sheetName val="Соцработники"/>
      <sheetName val="в проект бюджета"/>
      <sheetName val="СтоимМедосмот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K6">
            <v>2.819</v>
          </cell>
        </row>
        <row r="8">
          <cell r="C8">
            <v>85</v>
          </cell>
          <cell r="D8">
            <v>76.7</v>
          </cell>
        </row>
        <row r="9">
          <cell r="C9">
            <v>124</v>
          </cell>
          <cell r="D9">
            <v>113.5</v>
          </cell>
        </row>
        <row r="10">
          <cell r="C10">
            <v>209</v>
          </cell>
          <cell r="D10">
            <v>207.8</v>
          </cell>
        </row>
        <row r="11">
          <cell r="C11">
            <v>136</v>
          </cell>
          <cell r="D11">
            <v>128</v>
          </cell>
        </row>
        <row r="12">
          <cell r="C12">
            <v>252</v>
          </cell>
          <cell r="D12">
            <v>222.8</v>
          </cell>
        </row>
        <row r="13">
          <cell r="C13">
            <v>60</v>
          </cell>
          <cell r="D13">
            <v>58</v>
          </cell>
        </row>
        <row r="14">
          <cell r="C14">
            <v>94</v>
          </cell>
          <cell r="D14">
            <v>81</v>
          </cell>
        </row>
        <row r="15">
          <cell r="C15">
            <v>68</v>
          </cell>
          <cell r="D15">
            <v>67.599999999999994</v>
          </cell>
        </row>
        <row r="16">
          <cell r="C16">
            <v>81</v>
          </cell>
          <cell r="D16">
            <v>78.7</v>
          </cell>
        </row>
        <row r="17">
          <cell r="C17">
            <v>88</v>
          </cell>
          <cell r="D17">
            <v>78.5</v>
          </cell>
        </row>
        <row r="18">
          <cell r="C18">
            <v>101</v>
          </cell>
          <cell r="D18">
            <v>100.7</v>
          </cell>
        </row>
        <row r="19">
          <cell r="C19">
            <v>9</v>
          </cell>
          <cell r="D19">
            <v>8.5</v>
          </cell>
        </row>
        <row r="20">
          <cell r="C20">
            <v>54</v>
          </cell>
          <cell r="D20">
            <v>53.3</v>
          </cell>
        </row>
        <row r="21">
          <cell r="C21">
            <v>148</v>
          </cell>
          <cell r="D21">
            <v>147.80000000000001</v>
          </cell>
        </row>
        <row r="22">
          <cell r="C22">
            <v>33</v>
          </cell>
          <cell r="D22">
            <v>33.5</v>
          </cell>
        </row>
        <row r="23">
          <cell r="C23">
            <v>65</v>
          </cell>
          <cell r="D23">
            <v>58.4</v>
          </cell>
        </row>
        <row r="24">
          <cell r="C24">
            <v>86</v>
          </cell>
          <cell r="D24">
            <v>79</v>
          </cell>
        </row>
        <row r="25">
          <cell r="C25">
            <v>132</v>
          </cell>
          <cell r="D25">
            <v>128.30000000000001</v>
          </cell>
        </row>
        <row r="26">
          <cell r="C26">
            <v>926</v>
          </cell>
          <cell r="D26">
            <v>793.5</v>
          </cell>
        </row>
        <row r="31">
          <cell r="C31">
            <v>328</v>
          </cell>
          <cell r="D31">
            <v>206</v>
          </cell>
        </row>
        <row r="32">
          <cell r="C32">
            <v>451</v>
          </cell>
          <cell r="D32">
            <v>283.5</v>
          </cell>
        </row>
        <row r="33">
          <cell r="C33">
            <v>528</v>
          </cell>
          <cell r="D33">
            <v>488.5</v>
          </cell>
        </row>
        <row r="34">
          <cell r="C34">
            <v>345</v>
          </cell>
          <cell r="D34">
            <v>327.9</v>
          </cell>
        </row>
        <row r="35">
          <cell r="C35">
            <v>802</v>
          </cell>
          <cell r="D35">
            <v>557.29999999999995</v>
          </cell>
        </row>
        <row r="36">
          <cell r="C36">
            <v>182</v>
          </cell>
          <cell r="D36">
            <v>140</v>
          </cell>
        </row>
        <row r="37">
          <cell r="C37">
            <v>254</v>
          </cell>
          <cell r="D37">
            <v>172</v>
          </cell>
        </row>
        <row r="38">
          <cell r="C38">
            <v>390</v>
          </cell>
          <cell r="D38">
            <v>251.1</v>
          </cell>
        </row>
        <row r="39">
          <cell r="C39">
            <v>320</v>
          </cell>
          <cell r="D39">
            <v>246</v>
          </cell>
        </row>
        <row r="40">
          <cell r="C40">
            <v>453</v>
          </cell>
          <cell r="D40">
            <v>280.7</v>
          </cell>
        </row>
        <row r="41">
          <cell r="C41">
            <v>335</v>
          </cell>
          <cell r="D41">
            <v>245</v>
          </cell>
        </row>
        <row r="42">
          <cell r="C42">
            <v>43</v>
          </cell>
          <cell r="D42">
            <v>46</v>
          </cell>
        </row>
        <row r="43">
          <cell r="C43">
            <v>226</v>
          </cell>
          <cell r="D43">
            <v>185</v>
          </cell>
        </row>
        <row r="44">
          <cell r="C44">
            <v>511</v>
          </cell>
          <cell r="D44">
            <v>506</v>
          </cell>
        </row>
        <row r="45">
          <cell r="C45">
            <v>140</v>
          </cell>
          <cell r="D45">
            <v>140</v>
          </cell>
        </row>
        <row r="46">
          <cell r="C46">
            <v>247</v>
          </cell>
          <cell r="D46">
            <v>147.19999999999999</v>
          </cell>
        </row>
        <row r="47">
          <cell r="C47">
            <v>236</v>
          </cell>
          <cell r="D47">
            <v>193</v>
          </cell>
        </row>
        <row r="48">
          <cell r="C48">
            <v>331</v>
          </cell>
          <cell r="D48">
            <v>189.7</v>
          </cell>
        </row>
        <row r="49">
          <cell r="C49">
            <v>2739</v>
          </cell>
          <cell r="D49">
            <v>1453.5</v>
          </cell>
        </row>
        <row r="54">
          <cell r="C54">
            <v>86</v>
          </cell>
          <cell r="D54">
            <v>35.700000000000003</v>
          </cell>
        </row>
        <row r="55">
          <cell r="C55">
            <v>45</v>
          </cell>
          <cell r="D55">
            <v>36</v>
          </cell>
        </row>
        <row r="56">
          <cell r="C56">
            <v>34</v>
          </cell>
          <cell r="D56">
            <v>29</v>
          </cell>
        </row>
        <row r="57">
          <cell r="C57">
            <v>22</v>
          </cell>
          <cell r="D57">
            <v>16.2</v>
          </cell>
        </row>
        <row r="58">
          <cell r="C58">
            <v>100</v>
          </cell>
          <cell r="D58">
            <v>47</v>
          </cell>
        </row>
        <row r="59">
          <cell r="C59">
            <v>36</v>
          </cell>
          <cell r="D59">
            <v>34</v>
          </cell>
        </row>
        <row r="60">
          <cell r="C60">
            <v>33</v>
          </cell>
          <cell r="D60">
            <v>23.5</v>
          </cell>
        </row>
        <row r="61">
          <cell r="C61">
            <v>47</v>
          </cell>
          <cell r="D61">
            <v>18.8</v>
          </cell>
        </row>
        <row r="62">
          <cell r="C62">
            <v>41</v>
          </cell>
          <cell r="D62">
            <v>19</v>
          </cell>
        </row>
        <row r="63">
          <cell r="C63">
            <v>74</v>
          </cell>
          <cell r="D63">
            <v>36.700000000000003</v>
          </cell>
        </row>
        <row r="64">
          <cell r="C64">
            <v>29</v>
          </cell>
          <cell r="D64">
            <v>13</v>
          </cell>
        </row>
        <row r="65">
          <cell r="C65">
            <v>8</v>
          </cell>
          <cell r="D65">
            <v>6</v>
          </cell>
        </row>
        <row r="66">
          <cell r="C66">
            <v>19</v>
          </cell>
          <cell r="D66">
            <v>16</v>
          </cell>
        </row>
        <row r="67">
          <cell r="C67">
            <v>24</v>
          </cell>
          <cell r="D67">
            <v>22</v>
          </cell>
        </row>
        <row r="68">
          <cell r="C68">
            <v>30</v>
          </cell>
          <cell r="D68">
            <v>12</v>
          </cell>
        </row>
        <row r="69">
          <cell r="C69">
            <v>47</v>
          </cell>
          <cell r="D69">
            <v>19.5</v>
          </cell>
        </row>
        <row r="70">
          <cell r="C70">
            <v>31</v>
          </cell>
          <cell r="D70">
            <v>15</v>
          </cell>
        </row>
        <row r="71">
          <cell r="C71">
            <v>64</v>
          </cell>
          <cell r="D71">
            <v>58</v>
          </cell>
        </row>
        <row r="72">
          <cell r="C72">
            <v>102</v>
          </cell>
          <cell r="D72">
            <v>66</v>
          </cell>
        </row>
        <row r="73">
          <cell r="C73">
            <v>13200</v>
          </cell>
          <cell r="D73">
            <v>9710.0999999999985</v>
          </cell>
          <cell r="M73">
            <v>46894.064999999995</v>
          </cell>
          <cell r="P73">
            <v>36101.241600000001</v>
          </cell>
        </row>
      </sheetData>
      <sheetData sheetId="10">
        <row r="6">
          <cell r="C6">
            <v>31</v>
          </cell>
          <cell r="D6">
            <v>16.2</v>
          </cell>
          <cell r="K6">
            <v>2.0372500000000002</v>
          </cell>
          <cell r="M6">
            <v>126.30950000000001</v>
          </cell>
          <cell r="P6">
            <v>66.006900000000002</v>
          </cell>
        </row>
        <row r="7">
          <cell r="K7">
            <v>2.0372500000000002</v>
          </cell>
        </row>
        <row r="8">
          <cell r="M8">
            <v>346.33250000000004</v>
          </cell>
          <cell r="P8">
            <v>312.51415000000003</v>
          </cell>
        </row>
        <row r="9">
          <cell r="M9">
            <v>505.23800000000006</v>
          </cell>
          <cell r="P9">
            <v>462.45575000000008</v>
          </cell>
        </row>
        <row r="10">
          <cell r="M10">
            <v>851.57050000000004</v>
          </cell>
          <cell r="P10">
            <v>846.68110000000013</v>
          </cell>
        </row>
        <row r="11">
          <cell r="M11">
            <v>554.13200000000006</v>
          </cell>
          <cell r="P11">
            <v>521.53600000000006</v>
          </cell>
        </row>
        <row r="12">
          <cell r="M12">
            <v>1026.7740000000001</v>
          </cell>
          <cell r="P12">
            <v>907.79860000000019</v>
          </cell>
        </row>
        <row r="13">
          <cell r="M13">
            <v>244.47000000000003</v>
          </cell>
          <cell r="P13">
            <v>236.32100000000003</v>
          </cell>
        </row>
        <row r="14">
          <cell r="M14">
            <v>383.00300000000004</v>
          </cell>
          <cell r="P14">
            <v>330.03450000000004</v>
          </cell>
        </row>
        <row r="15">
          <cell r="M15">
            <v>277.06600000000003</v>
          </cell>
          <cell r="P15">
            <v>275.43619999999999</v>
          </cell>
        </row>
        <row r="16">
          <cell r="M16">
            <v>330.03450000000004</v>
          </cell>
          <cell r="P16">
            <v>320.66315000000003</v>
          </cell>
        </row>
        <row r="17">
          <cell r="M17">
            <v>358.55600000000004</v>
          </cell>
          <cell r="P17">
            <v>319.84825000000001</v>
          </cell>
        </row>
        <row r="18">
          <cell r="M18">
            <v>411.52450000000005</v>
          </cell>
          <cell r="P18">
            <v>410.30215000000004</v>
          </cell>
        </row>
        <row r="19">
          <cell r="M19">
            <v>36.670500000000004</v>
          </cell>
          <cell r="P19">
            <v>34.633250000000004</v>
          </cell>
        </row>
        <row r="20">
          <cell r="M20">
            <v>220.02300000000002</v>
          </cell>
          <cell r="P20">
            <v>217.17085</v>
          </cell>
        </row>
        <row r="21">
          <cell r="M21">
            <v>603.02600000000007</v>
          </cell>
          <cell r="P21">
            <v>602.2111000000001</v>
          </cell>
        </row>
        <row r="22">
          <cell r="M22">
            <v>134.45850000000002</v>
          </cell>
          <cell r="P22">
            <v>136.49575000000002</v>
          </cell>
        </row>
        <row r="23">
          <cell r="M23">
            <v>264.84250000000003</v>
          </cell>
          <cell r="P23">
            <v>237.95080000000002</v>
          </cell>
        </row>
        <row r="24">
          <cell r="M24">
            <v>350.40700000000004</v>
          </cell>
          <cell r="P24">
            <v>321.88550000000004</v>
          </cell>
        </row>
        <row r="25">
          <cell r="M25">
            <v>537.83400000000006</v>
          </cell>
          <cell r="P25">
            <v>522.75835000000006</v>
          </cell>
        </row>
        <row r="26">
          <cell r="M26">
            <v>3772.9870000000005</v>
          </cell>
          <cell r="P26">
            <v>3233.1157500000004</v>
          </cell>
        </row>
        <row r="29">
          <cell r="C29">
            <v>653</v>
          </cell>
          <cell r="D29">
            <v>564.5</v>
          </cell>
          <cell r="M29">
            <v>1330.3242500000001</v>
          </cell>
          <cell r="P29">
            <v>1150.0276250000002</v>
          </cell>
        </row>
        <row r="31">
          <cell r="M31">
            <v>668.21800000000007</v>
          </cell>
          <cell r="P31">
            <v>419.67350000000005</v>
          </cell>
        </row>
        <row r="32">
          <cell r="M32">
            <v>918.79975000000013</v>
          </cell>
          <cell r="P32">
            <v>577.56037500000002</v>
          </cell>
        </row>
        <row r="33">
          <cell r="M33">
            <v>1075.6680000000001</v>
          </cell>
          <cell r="P33">
            <v>995.19662500000015</v>
          </cell>
        </row>
        <row r="34">
          <cell r="M34">
            <v>702.85125000000005</v>
          </cell>
          <cell r="P34">
            <v>668.014275</v>
          </cell>
        </row>
        <row r="35">
          <cell r="M35">
            <v>1633.8745000000001</v>
          </cell>
          <cell r="P35">
            <v>1135.3594250000001</v>
          </cell>
        </row>
        <row r="36">
          <cell r="M36">
            <v>370.77950000000004</v>
          </cell>
          <cell r="P36">
            <v>285.21500000000003</v>
          </cell>
        </row>
        <row r="37">
          <cell r="M37">
            <v>517.46150000000011</v>
          </cell>
          <cell r="P37">
            <v>350.40700000000004</v>
          </cell>
        </row>
        <row r="38">
          <cell r="M38">
            <v>794.52750000000015</v>
          </cell>
          <cell r="P38">
            <v>511.55347500000005</v>
          </cell>
        </row>
        <row r="39">
          <cell r="M39">
            <v>651.92000000000007</v>
          </cell>
          <cell r="P39">
            <v>501.16350000000006</v>
          </cell>
        </row>
        <row r="40">
          <cell r="M40">
            <v>922.87425000000007</v>
          </cell>
          <cell r="P40">
            <v>571.85607500000003</v>
          </cell>
        </row>
        <row r="41">
          <cell r="M41">
            <v>682.4787500000001</v>
          </cell>
          <cell r="P41">
            <v>499.12625000000003</v>
          </cell>
        </row>
        <row r="42">
          <cell r="M42">
            <v>87.60175000000001</v>
          </cell>
          <cell r="P42">
            <v>93.71350000000001</v>
          </cell>
        </row>
        <row r="43">
          <cell r="M43">
            <v>460.41850000000005</v>
          </cell>
          <cell r="P43">
            <v>376.89125000000001</v>
          </cell>
        </row>
        <row r="44">
          <cell r="M44">
            <v>1041.03475</v>
          </cell>
          <cell r="P44">
            <v>1030.8485000000001</v>
          </cell>
        </row>
        <row r="45">
          <cell r="M45">
            <v>285.21500000000003</v>
          </cell>
          <cell r="P45">
            <v>285.21500000000003</v>
          </cell>
        </row>
        <row r="46">
          <cell r="M46">
            <v>503.20075000000008</v>
          </cell>
          <cell r="P46">
            <v>299.88319999999999</v>
          </cell>
        </row>
        <row r="47">
          <cell r="M47">
            <v>480.79100000000005</v>
          </cell>
          <cell r="P47">
            <v>393.18925000000002</v>
          </cell>
        </row>
        <row r="48">
          <cell r="M48">
            <v>674.3297500000001</v>
          </cell>
          <cell r="P48">
            <v>386.46632500000004</v>
          </cell>
        </row>
        <row r="49">
          <cell r="M49">
            <v>5580.0277500000002</v>
          </cell>
          <cell r="P49">
            <v>2961.1428750000005</v>
          </cell>
        </row>
        <row r="52">
          <cell r="C52">
            <v>32</v>
          </cell>
          <cell r="D52">
            <v>32</v>
          </cell>
          <cell r="M52">
            <v>65.192000000000007</v>
          </cell>
          <cell r="P52">
            <v>65.192000000000007</v>
          </cell>
        </row>
        <row r="54">
          <cell r="M54">
            <v>175.20350000000002</v>
          </cell>
          <cell r="P54">
            <v>72.729825000000019</v>
          </cell>
        </row>
        <row r="55">
          <cell r="M55">
            <v>91.67625000000001</v>
          </cell>
          <cell r="P55">
            <v>73.341000000000008</v>
          </cell>
        </row>
        <row r="56">
          <cell r="M56">
            <v>69.266500000000008</v>
          </cell>
          <cell r="P56">
            <v>59.080250000000007</v>
          </cell>
        </row>
        <row r="57">
          <cell r="M57">
            <v>44.819500000000005</v>
          </cell>
          <cell r="P57">
            <v>33.003450000000001</v>
          </cell>
        </row>
        <row r="58">
          <cell r="M58">
            <v>203.72500000000002</v>
          </cell>
          <cell r="P58">
            <v>95.750750000000011</v>
          </cell>
        </row>
        <row r="59">
          <cell r="M59">
            <v>73.341000000000008</v>
          </cell>
          <cell r="P59">
            <v>69.266500000000008</v>
          </cell>
        </row>
        <row r="60">
          <cell r="M60">
            <v>67.229250000000008</v>
          </cell>
          <cell r="P60">
            <v>47.875375000000005</v>
          </cell>
        </row>
        <row r="61">
          <cell r="M61">
            <v>95.750750000000011</v>
          </cell>
          <cell r="P61">
            <v>38.300300000000007</v>
          </cell>
        </row>
        <row r="62">
          <cell r="M62">
            <v>83.527250000000009</v>
          </cell>
          <cell r="P62">
            <v>38.707750000000004</v>
          </cell>
        </row>
        <row r="63">
          <cell r="M63">
            <v>150.75650000000002</v>
          </cell>
          <cell r="P63">
            <v>74.76707500000002</v>
          </cell>
        </row>
        <row r="64">
          <cell r="M64">
            <v>59.080250000000007</v>
          </cell>
          <cell r="P64">
            <v>26.484250000000003</v>
          </cell>
        </row>
        <row r="65">
          <cell r="M65">
            <v>16.298000000000002</v>
          </cell>
          <cell r="P65">
            <v>12.223500000000001</v>
          </cell>
        </row>
        <row r="66">
          <cell r="M66">
            <v>38.707750000000004</v>
          </cell>
          <cell r="P66">
            <v>32.596000000000004</v>
          </cell>
        </row>
        <row r="67">
          <cell r="M67">
            <v>48.894000000000005</v>
          </cell>
          <cell r="P67">
            <v>44.819500000000005</v>
          </cell>
        </row>
        <row r="68">
          <cell r="M68">
            <v>61.117500000000007</v>
          </cell>
          <cell r="P68">
            <v>24.447000000000003</v>
          </cell>
        </row>
        <row r="69">
          <cell r="M69">
            <v>95.750750000000011</v>
          </cell>
          <cell r="P69">
            <v>39.726375000000004</v>
          </cell>
        </row>
        <row r="70">
          <cell r="M70">
            <v>63.154750000000007</v>
          </cell>
          <cell r="P70">
            <v>30.558750000000003</v>
          </cell>
        </row>
        <row r="71">
          <cell r="M71">
            <v>130.38400000000001</v>
          </cell>
          <cell r="P71">
            <v>118.16050000000001</v>
          </cell>
        </row>
        <row r="72">
          <cell r="M72">
            <v>207.79950000000002</v>
          </cell>
          <cell r="P72">
            <v>134.45850000000002</v>
          </cell>
        </row>
        <row r="73">
          <cell r="M73">
            <v>32559.329500000003</v>
          </cell>
          <cell r="P73">
            <v>24939.810775000002</v>
          </cell>
        </row>
      </sheetData>
      <sheetData sheetId="11">
        <row r="5">
          <cell r="C5">
            <v>1736.75</v>
          </cell>
          <cell r="J5">
            <v>2.819</v>
          </cell>
        </row>
        <row r="6">
          <cell r="C6">
            <v>1336</v>
          </cell>
          <cell r="J6">
            <v>2.819</v>
          </cell>
        </row>
        <row r="8">
          <cell r="C8">
            <v>264</v>
          </cell>
        </row>
        <row r="9">
          <cell r="C9">
            <v>253.10000000000002</v>
          </cell>
        </row>
        <row r="11">
          <cell r="C11">
            <v>2000.75</v>
          </cell>
          <cell r="L11">
            <v>5640.1142500000005</v>
          </cell>
        </row>
        <row r="12">
          <cell r="C12">
            <v>1589.1</v>
          </cell>
          <cell r="L12">
            <v>4479.6728999999996</v>
          </cell>
        </row>
        <row r="19">
          <cell r="J19">
            <v>2.0372500000000002</v>
          </cell>
          <cell r="L19">
            <v>3538.1939375000002</v>
          </cell>
        </row>
        <row r="20">
          <cell r="J20">
            <v>2.0372500000000002</v>
          </cell>
          <cell r="L20">
            <v>2721.7660000000005</v>
          </cell>
        </row>
        <row r="22">
          <cell r="L22">
            <v>537.83400000000006</v>
          </cell>
        </row>
        <row r="23">
          <cell r="L23">
            <v>515.62797500000011</v>
          </cell>
        </row>
        <row r="25">
          <cell r="L25">
            <v>4076.0279375</v>
          </cell>
        </row>
        <row r="26">
          <cell r="L26">
            <v>3237.3939750000009</v>
          </cell>
        </row>
      </sheetData>
      <sheetData sheetId="12">
        <row r="5">
          <cell r="C5">
            <v>84</v>
          </cell>
          <cell r="J5">
            <v>2.819</v>
          </cell>
          <cell r="L5">
            <v>236.79599999999999</v>
          </cell>
        </row>
        <row r="6">
          <cell r="C6">
            <v>63.3</v>
          </cell>
          <cell r="J6">
            <v>2.819</v>
          </cell>
          <cell r="L6">
            <v>178.4427</v>
          </cell>
        </row>
        <row r="13">
          <cell r="J13">
            <v>2.0372500000000002</v>
          </cell>
          <cell r="L13">
            <v>171.12900000000002</v>
          </cell>
        </row>
        <row r="14">
          <cell r="J14">
            <v>2.0372500000000002</v>
          </cell>
          <cell r="L14">
            <v>128.95792500000002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B256"/>
  <sheetViews>
    <sheetView workbookViewId="0">
      <selection activeCell="L180" sqref="L180"/>
    </sheetView>
  </sheetViews>
  <sheetFormatPr defaultRowHeight="15.75" x14ac:dyDescent="0.25"/>
  <cols>
    <col min="1" max="1" width="3.85546875" style="19" customWidth="1"/>
    <col min="2" max="2" width="16.85546875" style="19" customWidth="1"/>
    <col min="3" max="3" width="10.28515625" style="19" customWidth="1"/>
    <col min="4" max="4" width="9.42578125" style="19" customWidth="1"/>
    <col min="5" max="5" width="9.85546875" style="19" customWidth="1"/>
    <col min="6" max="6" width="10.7109375" style="19" customWidth="1"/>
    <col min="7" max="7" width="11.140625" style="19" customWidth="1"/>
    <col min="8" max="8" width="10.5703125" style="19" customWidth="1"/>
    <col min="9" max="9" width="10.7109375" style="19" customWidth="1"/>
    <col min="10" max="10" width="9.7109375" style="48" customWidth="1"/>
    <col min="11" max="13" width="9.28515625" style="19" bestFit="1" customWidth="1"/>
    <col min="14" max="14" width="10" style="19" bestFit="1" customWidth="1"/>
    <col min="15" max="17" width="10" style="50" customWidth="1"/>
    <col min="18" max="19" width="10" style="19" bestFit="1" customWidth="1"/>
    <col min="20" max="20" width="10.42578125" style="80" bestFit="1" customWidth="1"/>
    <col min="21" max="21" width="11.7109375" style="81" customWidth="1"/>
    <col min="22" max="22" width="12.7109375" style="81" customWidth="1"/>
    <col min="23" max="23" width="14.5703125" style="77" customWidth="1"/>
    <col min="24" max="24" width="11" style="1" customWidth="1"/>
    <col min="25" max="25" width="10" style="19" hidden="1" customWidth="1"/>
    <col min="26" max="26" width="10.140625" style="19" hidden="1" customWidth="1"/>
    <col min="28" max="28" width="9.7109375" bestFit="1" customWidth="1"/>
  </cols>
  <sheetData>
    <row r="1" spans="1:26" ht="15.75" customHeight="1" x14ac:dyDescent="0.25">
      <c r="A1" s="659" t="s">
        <v>30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1"/>
      <c r="P1" s="84"/>
      <c r="Q1" s="84"/>
      <c r="R1" s="106"/>
      <c r="S1" s="106"/>
      <c r="T1" s="660" t="s">
        <v>43</v>
      </c>
      <c r="U1" s="660"/>
      <c r="V1" s="660"/>
      <c r="W1" s="73" t="s">
        <v>18</v>
      </c>
    </row>
    <row r="2" spans="1:26" ht="17.25" customHeight="1" x14ac:dyDescent="0.25">
      <c r="A2" s="2" t="s">
        <v>17</v>
      </c>
      <c r="B2" s="2" t="s">
        <v>16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54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62">
        <v>2021</v>
      </c>
      <c r="P2" s="85">
        <v>2020</v>
      </c>
      <c r="Q2" s="85">
        <v>2019</v>
      </c>
      <c r="R2" s="4">
        <v>2018</v>
      </c>
      <c r="S2" s="4">
        <v>2017</v>
      </c>
      <c r="T2" s="5">
        <v>2016</v>
      </c>
      <c r="U2" s="5">
        <v>2015</v>
      </c>
      <c r="V2" s="5">
        <v>2014</v>
      </c>
      <c r="W2" s="74"/>
    </row>
    <row r="3" spans="1:26" ht="15" customHeight="1" x14ac:dyDescent="0.25">
      <c r="A3" s="12">
        <v>1</v>
      </c>
      <c r="B3" s="13" t="s">
        <v>19</v>
      </c>
      <c r="C3" s="9"/>
      <c r="D3" s="9" t="s">
        <v>47</v>
      </c>
      <c r="E3" s="9"/>
      <c r="F3" s="9"/>
      <c r="G3" s="9"/>
      <c r="H3" s="9"/>
      <c r="I3" s="9"/>
      <c r="J3" s="10"/>
      <c r="K3" s="9"/>
      <c r="L3" s="9"/>
      <c r="M3" s="9"/>
      <c r="N3" s="14"/>
      <c r="O3" s="67">
        <f>SUM(C3:N3)</f>
        <v>0</v>
      </c>
      <c r="P3" s="86"/>
      <c r="Q3" s="86"/>
      <c r="R3" s="107">
        <v>8686.2099999999991</v>
      </c>
      <c r="S3" s="107">
        <v>104234.52</v>
      </c>
      <c r="T3" s="10">
        <v>104234.52</v>
      </c>
      <c r="U3" s="10">
        <v>104234.52</v>
      </c>
      <c r="V3" s="10">
        <v>95548.31</v>
      </c>
      <c r="W3" s="75">
        <f>O3+R3+S3+T3+U3+V3</f>
        <v>416938.08</v>
      </c>
      <c r="Z3" s="44"/>
    </row>
    <row r="4" spans="1:26" ht="13.5" customHeight="1" x14ac:dyDescent="0.25">
      <c r="A4" s="6">
        <v>2</v>
      </c>
      <c r="B4" s="7" t="s">
        <v>49</v>
      </c>
      <c r="C4" s="8"/>
      <c r="D4" s="8"/>
      <c r="E4" s="8"/>
      <c r="F4" s="8"/>
      <c r="G4" s="8"/>
      <c r="H4" s="8"/>
      <c r="I4" s="8"/>
      <c r="J4" s="83"/>
      <c r="K4" s="83"/>
      <c r="L4" s="83"/>
      <c r="M4" s="8"/>
      <c r="N4" s="107"/>
      <c r="O4" s="67">
        <f>SUM(C4:N4)</f>
        <v>0</v>
      </c>
      <c r="P4" s="86"/>
      <c r="Q4" s="86">
        <v>68453.320000000007</v>
      </c>
      <c r="R4" s="107">
        <v>89285.52</v>
      </c>
      <c r="S4" s="107">
        <v>89285.52</v>
      </c>
      <c r="T4" s="107">
        <v>89285.52</v>
      </c>
      <c r="U4" s="107">
        <v>89285.52</v>
      </c>
      <c r="V4" s="10">
        <v>74404.600000000006</v>
      </c>
      <c r="W4" s="75">
        <f t="shared" ref="W4:W10" si="0">O4+R4+S4+T4+U4+V4</f>
        <v>431546.68000000005</v>
      </c>
      <c r="Y4" s="19">
        <v>500000</v>
      </c>
      <c r="Z4" s="44">
        <f>Y4-W4</f>
        <v>68453.319999999949</v>
      </c>
    </row>
    <row r="5" spans="1:26" ht="13.5" customHeight="1" x14ac:dyDescent="0.25">
      <c r="A5" s="12">
        <v>3</v>
      </c>
      <c r="B5" s="13" t="s">
        <v>20</v>
      </c>
      <c r="C5" s="9"/>
      <c r="D5" s="9"/>
      <c r="E5" s="9"/>
      <c r="F5" s="11"/>
      <c r="G5" s="11"/>
      <c r="H5" s="11"/>
      <c r="I5" s="11"/>
      <c r="J5" s="55"/>
      <c r="K5" s="11"/>
      <c r="L5" s="11"/>
      <c r="M5" s="11"/>
      <c r="N5" s="52"/>
      <c r="O5" s="67">
        <f t="shared" ref="O5:O10" si="1">SUM(C5:N5)</f>
        <v>0</v>
      </c>
      <c r="P5" s="86"/>
      <c r="Q5" s="86"/>
      <c r="R5" s="107">
        <v>38376.5</v>
      </c>
      <c r="S5" s="107">
        <v>123099.6</v>
      </c>
      <c r="T5" s="107">
        <v>123099.6</v>
      </c>
      <c r="U5" s="107">
        <v>123099.6</v>
      </c>
      <c r="V5" s="10">
        <v>92324.7</v>
      </c>
      <c r="W5" s="75">
        <f t="shared" si="0"/>
        <v>500000.00000000006</v>
      </c>
      <c r="Z5" s="44"/>
    </row>
    <row r="6" spans="1:26" ht="12.75" customHeight="1" x14ac:dyDescent="0.25">
      <c r="A6" s="12">
        <v>4</v>
      </c>
      <c r="B6" s="13" t="s">
        <v>21</v>
      </c>
      <c r="C6" s="9">
        <v>0</v>
      </c>
      <c r="D6" s="9">
        <v>0</v>
      </c>
      <c r="E6" s="9"/>
      <c r="F6" s="9"/>
      <c r="G6" s="9"/>
      <c r="H6" s="9"/>
      <c r="I6" s="9"/>
      <c r="J6" s="10"/>
      <c r="K6" s="9"/>
      <c r="L6" s="9"/>
      <c r="M6" s="9"/>
      <c r="N6" s="14"/>
      <c r="O6" s="67">
        <f t="shared" si="1"/>
        <v>0</v>
      </c>
      <c r="P6" s="86"/>
      <c r="Q6" s="86"/>
      <c r="R6" s="107">
        <f t="shared" ref="R6" si="2">SUM(C6:N6)</f>
        <v>0</v>
      </c>
      <c r="S6" s="107">
        <v>23089.82</v>
      </c>
      <c r="T6" s="10">
        <v>168321.24</v>
      </c>
      <c r="U6" s="10">
        <v>168321.24</v>
      </c>
      <c r="V6" s="10">
        <v>140267.70000000001</v>
      </c>
      <c r="W6" s="75">
        <f t="shared" si="0"/>
        <v>500000</v>
      </c>
      <c r="Z6" s="44"/>
    </row>
    <row r="7" spans="1:26" ht="10.5" customHeight="1" x14ac:dyDescent="0.25">
      <c r="A7" s="12">
        <v>5</v>
      </c>
      <c r="B7" s="13" t="s">
        <v>22</v>
      </c>
      <c r="C7" s="9"/>
      <c r="D7" s="9"/>
      <c r="E7" s="9"/>
      <c r="F7" s="9"/>
      <c r="G7" s="9"/>
      <c r="H7" s="9"/>
      <c r="I7" s="9">
        <v>0</v>
      </c>
      <c r="J7" s="10">
        <v>0</v>
      </c>
      <c r="K7" s="9">
        <v>0</v>
      </c>
      <c r="L7" s="9">
        <v>0</v>
      </c>
      <c r="M7" s="9">
        <v>0</v>
      </c>
      <c r="N7" s="14">
        <v>0</v>
      </c>
      <c r="O7" s="67">
        <f t="shared" si="1"/>
        <v>0</v>
      </c>
      <c r="P7" s="86"/>
      <c r="Q7" s="86"/>
      <c r="R7" s="107">
        <v>55539.33</v>
      </c>
      <c r="S7" s="107">
        <v>113479.32</v>
      </c>
      <c r="T7" s="107">
        <v>113479.32</v>
      </c>
      <c r="U7" s="107">
        <v>113479.32</v>
      </c>
      <c r="V7" s="107">
        <v>104022.71</v>
      </c>
      <c r="W7" s="108">
        <f t="shared" si="0"/>
        <v>500000.00000000006</v>
      </c>
      <c r="Z7" s="44"/>
    </row>
    <row r="8" spans="1:26" ht="12" customHeight="1" x14ac:dyDescent="0.25">
      <c r="A8" s="12">
        <v>6</v>
      </c>
      <c r="B8" s="13" t="s">
        <v>23</v>
      </c>
      <c r="C8" s="9"/>
      <c r="D8" s="9"/>
      <c r="E8" s="9"/>
      <c r="F8" s="9"/>
      <c r="G8" s="9"/>
      <c r="H8" s="9"/>
      <c r="I8" s="9"/>
      <c r="J8" s="10"/>
      <c r="K8" s="9"/>
      <c r="L8" s="9"/>
      <c r="M8" s="9"/>
      <c r="N8" s="14"/>
      <c r="O8" s="67">
        <f t="shared" si="1"/>
        <v>0</v>
      </c>
      <c r="P8" s="86"/>
      <c r="Q8" s="86"/>
      <c r="R8" s="107">
        <v>107876</v>
      </c>
      <c r="S8" s="107">
        <v>114768</v>
      </c>
      <c r="T8" s="107">
        <v>114768</v>
      </c>
      <c r="U8" s="107">
        <v>138235.79</v>
      </c>
      <c r="V8" s="107">
        <v>24352.21</v>
      </c>
      <c r="W8" s="108">
        <f t="shared" si="0"/>
        <v>500000.00000000006</v>
      </c>
      <c r="Y8" s="44"/>
      <c r="Z8" s="44"/>
    </row>
    <row r="9" spans="1:26" ht="13.5" customHeight="1" x14ac:dyDescent="0.25">
      <c r="A9" s="12">
        <v>7</v>
      </c>
      <c r="B9" s="13" t="s">
        <v>50</v>
      </c>
      <c r="C9" s="9">
        <v>0</v>
      </c>
      <c r="D9" s="9">
        <v>0</v>
      </c>
      <c r="E9" s="9"/>
      <c r="F9" s="9">
        <v>0</v>
      </c>
      <c r="G9" s="9">
        <v>0</v>
      </c>
      <c r="H9" s="9">
        <v>0</v>
      </c>
      <c r="I9" s="9">
        <v>0</v>
      </c>
      <c r="J9" s="10">
        <v>0</v>
      </c>
      <c r="K9" s="9">
        <v>0</v>
      </c>
      <c r="L9" s="9">
        <v>0</v>
      </c>
      <c r="M9" s="9">
        <v>0</v>
      </c>
      <c r="N9" s="14">
        <v>0</v>
      </c>
      <c r="O9" s="67">
        <f>SUM(C9:N9)</f>
        <v>0</v>
      </c>
      <c r="P9" s="86"/>
      <c r="Q9" s="86"/>
      <c r="R9" s="107">
        <v>26412.06</v>
      </c>
      <c r="S9" s="107">
        <v>123544.68</v>
      </c>
      <c r="T9" s="10">
        <v>123544.68</v>
      </c>
      <c r="U9" s="10">
        <v>123544.68</v>
      </c>
      <c r="V9" s="29">
        <v>102953.9</v>
      </c>
      <c r="W9" s="108">
        <f t="shared" si="0"/>
        <v>500000</v>
      </c>
      <c r="Z9" s="44"/>
    </row>
    <row r="10" spans="1:26" ht="12.75" customHeight="1" x14ac:dyDescent="0.25">
      <c r="A10" s="12">
        <v>8</v>
      </c>
      <c r="B10" s="13" t="s">
        <v>29</v>
      </c>
      <c r="C10" s="9">
        <v>0</v>
      </c>
      <c r="D10" s="9"/>
      <c r="E10" s="9"/>
      <c r="F10" s="9"/>
      <c r="G10" s="9"/>
      <c r="H10" s="9"/>
      <c r="I10" s="9"/>
      <c r="J10" s="10"/>
      <c r="K10" s="9"/>
      <c r="L10" s="9"/>
      <c r="M10" s="9"/>
      <c r="N10" s="14"/>
      <c r="O10" s="67">
        <f t="shared" si="1"/>
        <v>0</v>
      </c>
      <c r="P10" s="86"/>
      <c r="Q10" s="86"/>
      <c r="R10" s="107">
        <v>0</v>
      </c>
      <c r="S10" s="107">
        <v>26895.17</v>
      </c>
      <c r="T10" s="10">
        <v>172038.12</v>
      </c>
      <c r="U10" s="10">
        <v>172038.12</v>
      </c>
      <c r="V10" s="10">
        <v>129028.59</v>
      </c>
      <c r="W10" s="75">
        <f t="shared" si="0"/>
        <v>500000</v>
      </c>
      <c r="Z10" s="44"/>
    </row>
    <row r="11" spans="1:26" x14ac:dyDescent="0.25">
      <c r="A11" s="15"/>
      <c r="B11" s="16" t="s">
        <v>18</v>
      </c>
      <c r="C11" s="17">
        <f>SUM(C3:C10)</f>
        <v>0</v>
      </c>
      <c r="D11" s="17">
        <f>SUM(D3:D10)</f>
        <v>0</v>
      </c>
      <c r="E11" s="17">
        <f t="shared" ref="E11:V11" si="3">SUM(E3:E10)</f>
        <v>0</v>
      </c>
      <c r="F11" s="17">
        <f t="shared" si="3"/>
        <v>0</v>
      </c>
      <c r="G11" s="17">
        <f t="shared" si="3"/>
        <v>0</v>
      </c>
      <c r="H11" s="17">
        <f t="shared" si="3"/>
        <v>0</v>
      </c>
      <c r="I11" s="17">
        <f t="shared" si="3"/>
        <v>0</v>
      </c>
      <c r="J11" s="56">
        <f t="shared" si="3"/>
        <v>0</v>
      </c>
      <c r="K11" s="17">
        <f t="shared" si="3"/>
        <v>0</v>
      </c>
      <c r="L11" s="17">
        <f t="shared" si="3"/>
        <v>0</v>
      </c>
      <c r="M11" s="17">
        <f t="shared" si="3"/>
        <v>0</v>
      </c>
      <c r="N11" s="18">
        <f t="shared" si="3"/>
        <v>0</v>
      </c>
      <c r="O11" s="18">
        <f t="shared" si="3"/>
        <v>0</v>
      </c>
      <c r="P11" s="18">
        <f t="shared" si="3"/>
        <v>0</v>
      </c>
      <c r="Q11" s="18">
        <f t="shared" si="3"/>
        <v>68453.320000000007</v>
      </c>
      <c r="R11" s="18">
        <f t="shared" si="3"/>
        <v>326175.62</v>
      </c>
      <c r="S11" s="18">
        <f t="shared" si="3"/>
        <v>718396.63</v>
      </c>
      <c r="T11" s="108">
        <f t="shared" si="3"/>
        <v>1008770.9999999999</v>
      </c>
      <c r="U11" s="108">
        <f t="shared" si="3"/>
        <v>1032238.7899999999</v>
      </c>
      <c r="V11" s="108">
        <f t="shared" si="3"/>
        <v>762902.72</v>
      </c>
      <c r="W11" s="75">
        <f>SUM(W3:W10)</f>
        <v>3848484.7600000002</v>
      </c>
      <c r="Z11" s="44"/>
    </row>
    <row r="12" spans="1:26" x14ac:dyDescent="0.25">
      <c r="B12" s="661"/>
      <c r="C12" s="661"/>
      <c r="D12" s="661"/>
      <c r="E12" s="661"/>
      <c r="F12" s="661"/>
      <c r="G12" s="661"/>
      <c r="H12" s="661"/>
      <c r="I12" s="661"/>
      <c r="J12" s="50"/>
      <c r="M12" s="662"/>
      <c r="N12" s="662"/>
      <c r="O12" s="64"/>
      <c r="P12" s="88"/>
      <c r="Q12" s="88"/>
      <c r="R12" s="20"/>
      <c r="S12" s="20"/>
      <c r="T12" s="21"/>
      <c r="U12" s="76"/>
      <c r="V12" s="76"/>
      <c r="Y12" s="44"/>
      <c r="Z12" s="44"/>
    </row>
    <row r="13" spans="1:26" x14ac:dyDescent="0.25">
      <c r="A13" s="663" t="s">
        <v>31</v>
      </c>
      <c r="B13" s="663"/>
      <c r="C13" s="663"/>
      <c r="D13" s="663"/>
      <c r="E13" s="663"/>
      <c r="F13" s="663"/>
      <c r="G13" s="663"/>
      <c r="H13" s="663"/>
      <c r="I13" s="663"/>
      <c r="J13" s="663"/>
      <c r="K13" s="663"/>
      <c r="L13" s="663"/>
      <c r="M13" s="663"/>
      <c r="N13" s="663"/>
      <c r="O13" s="65"/>
      <c r="P13" s="89"/>
      <c r="Q13" s="89"/>
      <c r="R13" s="23"/>
      <c r="S13" s="23"/>
      <c r="T13" s="78"/>
      <c r="U13" s="76"/>
      <c r="V13" s="76"/>
      <c r="Z13" s="44"/>
    </row>
    <row r="14" spans="1:26" ht="18.75" customHeight="1" x14ac:dyDescent="0.25">
      <c r="A14" s="2" t="s">
        <v>17</v>
      </c>
      <c r="B14" s="2" t="s">
        <v>16</v>
      </c>
      <c r="C14" s="2" t="s">
        <v>9</v>
      </c>
      <c r="D14" s="2" t="s">
        <v>10</v>
      </c>
      <c r="E14" s="2" t="s">
        <v>11</v>
      </c>
      <c r="F14" s="2" t="s">
        <v>12</v>
      </c>
      <c r="G14" s="2" t="s">
        <v>13</v>
      </c>
      <c r="H14" s="2" t="s">
        <v>14</v>
      </c>
      <c r="I14" s="2" t="s">
        <v>15</v>
      </c>
      <c r="J14" s="54" t="s">
        <v>24</v>
      </c>
      <c r="K14" s="2" t="s">
        <v>25</v>
      </c>
      <c r="L14" s="2" t="s">
        <v>26</v>
      </c>
      <c r="M14" s="2" t="s">
        <v>27</v>
      </c>
      <c r="N14" s="3" t="s">
        <v>28</v>
      </c>
      <c r="O14" s="66">
        <v>2021</v>
      </c>
      <c r="P14" s="85">
        <v>2020</v>
      </c>
      <c r="Q14" s="90">
        <v>2019</v>
      </c>
      <c r="R14" s="3">
        <v>2018</v>
      </c>
      <c r="S14" s="3">
        <v>2017</v>
      </c>
      <c r="T14" s="79">
        <v>2016</v>
      </c>
      <c r="U14" s="79">
        <v>2015</v>
      </c>
      <c r="V14" s="79">
        <v>2014</v>
      </c>
      <c r="W14" s="79" t="s">
        <v>18</v>
      </c>
      <c r="Z14" s="44"/>
    </row>
    <row r="15" spans="1:26" x14ac:dyDescent="0.25">
      <c r="A15" s="6">
        <v>1</v>
      </c>
      <c r="B15" s="25" t="s">
        <v>0</v>
      </c>
      <c r="C15" s="26" t="s">
        <v>46</v>
      </c>
      <c r="D15" s="27"/>
      <c r="E15" s="27"/>
      <c r="F15" s="27"/>
      <c r="G15" s="27"/>
      <c r="H15" s="27"/>
      <c r="I15" s="27"/>
      <c r="J15" s="57"/>
      <c r="K15" s="27"/>
      <c r="L15" s="27"/>
      <c r="M15" s="27"/>
      <c r="N15" s="27"/>
      <c r="O15" s="67">
        <f>SUM(C15:N15)</f>
        <v>0</v>
      </c>
      <c r="P15" s="86"/>
      <c r="Q15" s="86"/>
      <c r="R15" s="28"/>
      <c r="S15" s="29"/>
      <c r="T15" s="10">
        <v>71629.2</v>
      </c>
      <c r="U15" s="10">
        <v>79588</v>
      </c>
      <c r="W15" s="108">
        <f>O15+R15+S15+T15+U15+V15+Q15</f>
        <v>151217.20000000001</v>
      </c>
      <c r="Z15" s="44"/>
    </row>
    <row r="16" spans="1:26" x14ac:dyDescent="0.25">
      <c r="A16" s="30">
        <v>2</v>
      </c>
      <c r="B16" s="31" t="s">
        <v>51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9"/>
      <c r="O16" s="67">
        <f t="shared" ref="O16:O25" si="4">SUM(C16:N16)</f>
        <v>0</v>
      </c>
      <c r="P16" s="86"/>
      <c r="Q16" s="86"/>
      <c r="R16" s="107">
        <v>27638.46</v>
      </c>
      <c r="S16" s="29">
        <v>81073.320000000007</v>
      </c>
      <c r="T16" s="10">
        <v>81073.320000000007</v>
      </c>
      <c r="U16" s="10">
        <v>46718.42</v>
      </c>
      <c r="V16" s="10"/>
      <c r="W16" s="108">
        <f t="shared" ref="W16:W25" si="5">O16+R16+S16+T16+U16+V16+Q16</f>
        <v>236503.52000000002</v>
      </c>
      <c r="Y16" s="19">
        <v>500000</v>
      </c>
      <c r="Z16" s="44">
        <f t="shared" ref="Z16:Z26" si="6">Y16-W16</f>
        <v>263496.48</v>
      </c>
    </row>
    <row r="17" spans="1:26" x14ac:dyDescent="0.25">
      <c r="A17" s="6">
        <v>3</v>
      </c>
      <c r="B17" s="25" t="s">
        <v>1</v>
      </c>
      <c r="C17" s="8"/>
      <c r="D17" s="8"/>
      <c r="E17" s="8"/>
      <c r="F17" s="8"/>
      <c r="G17" s="8"/>
      <c r="H17" s="8"/>
      <c r="I17" s="8"/>
      <c r="J17" s="83"/>
      <c r="K17" s="83"/>
      <c r="L17" s="83"/>
      <c r="M17" s="8"/>
      <c r="N17" s="8"/>
      <c r="O17" s="67">
        <f t="shared" si="4"/>
        <v>0</v>
      </c>
      <c r="P17" s="86"/>
      <c r="Q17" s="86">
        <v>88728.7</v>
      </c>
      <c r="R17" s="107">
        <v>112824</v>
      </c>
      <c r="S17" s="107">
        <v>112824</v>
      </c>
      <c r="T17" s="107">
        <v>122226</v>
      </c>
      <c r="U17" s="10">
        <v>63397.3</v>
      </c>
      <c r="V17" s="10"/>
      <c r="W17" s="108">
        <f t="shared" si="5"/>
        <v>500000</v>
      </c>
      <c r="Y17" s="19">
        <v>500000</v>
      </c>
      <c r="Z17" s="44">
        <f t="shared" si="6"/>
        <v>0</v>
      </c>
    </row>
    <row r="18" spans="1:26" x14ac:dyDescent="0.25">
      <c r="A18" s="12">
        <v>4</v>
      </c>
      <c r="B18" s="32" t="s">
        <v>2</v>
      </c>
      <c r="C18" s="9"/>
      <c r="D18" s="9"/>
      <c r="E18" s="9"/>
      <c r="F18" s="9"/>
      <c r="G18" s="9"/>
      <c r="H18" s="9"/>
      <c r="I18" s="9"/>
      <c r="J18" s="10"/>
      <c r="K18" s="9"/>
      <c r="L18" s="11"/>
      <c r="M18" s="9">
        <v>0</v>
      </c>
      <c r="N18" s="14">
        <v>0</v>
      </c>
      <c r="O18" s="67">
        <f t="shared" si="4"/>
        <v>0</v>
      </c>
      <c r="P18" s="86"/>
      <c r="Q18" s="86"/>
      <c r="R18" s="107">
        <v>111617.66</v>
      </c>
      <c r="S18" s="29">
        <v>137076.12</v>
      </c>
      <c r="T18" s="29">
        <v>137076.12</v>
      </c>
      <c r="U18" s="10">
        <v>114230.1</v>
      </c>
      <c r="V18" s="10"/>
      <c r="W18" s="108">
        <f t="shared" si="5"/>
        <v>500000</v>
      </c>
      <c r="Y18" s="19">
        <v>500000</v>
      </c>
      <c r="Z18" s="44">
        <f t="shared" si="6"/>
        <v>0</v>
      </c>
    </row>
    <row r="19" spans="1:26" x14ac:dyDescent="0.25">
      <c r="A19" s="12">
        <v>5</v>
      </c>
      <c r="B19" s="32" t="s">
        <v>3</v>
      </c>
      <c r="C19" s="9"/>
      <c r="D19" s="9"/>
      <c r="E19" s="9"/>
      <c r="F19" s="9"/>
      <c r="G19" s="9"/>
      <c r="H19" s="9"/>
      <c r="I19" s="9"/>
      <c r="J19" s="10"/>
      <c r="K19" s="9"/>
      <c r="L19" s="9">
        <v>0</v>
      </c>
      <c r="M19" s="9">
        <v>0</v>
      </c>
      <c r="N19" s="14">
        <v>0</v>
      </c>
      <c r="O19" s="67">
        <f t="shared" si="4"/>
        <v>0</v>
      </c>
      <c r="P19" s="86"/>
      <c r="Q19" s="86"/>
      <c r="R19" s="107">
        <v>101044.64</v>
      </c>
      <c r="S19" s="29">
        <v>160759.35</v>
      </c>
      <c r="T19" s="10">
        <v>160759.35</v>
      </c>
      <c r="U19" s="10">
        <v>77436.66</v>
      </c>
      <c r="V19" s="10"/>
      <c r="W19" s="108">
        <f t="shared" si="5"/>
        <v>500000</v>
      </c>
      <c r="Y19" s="19">
        <v>500000</v>
      </c>
      <c r="Z19" s="44">
        <f t="shared" si="6"/>
        <v>0</v>
      </c>
    </row>
    <row r="20" spans="1:26" x14ac:dyDescent="0.25">
      <c r="A20" s="12">
        <v>6</v>
      </c>
      <c r="B20" s="32" t="s">
        <v>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10"/>
      <c r="K20" s="9"/>
      <c r="L20" s="9"/>
      <c r="M20" s="9"/>
      <c r="N20" s="14"/>
      <c r="O20" s="67">
        <f t="shared" si="4"/>
        <v>0</v>
      </c>
      <c r="P20" s="86"/>
      <c r="Q20" s="86"/>
      <c r="R20" s="107">
        <v>0</v>
      </c>
      <c r="S20" s="29">
        <v>103839.18</v>
      </c>
      <c r="T20" s="10">
        <v>216087.72</v>
      </c>
      <c r="U20" s="10">
        <v>180073.1</v>
      </c>
      <c r="V20" s="10"/>
      <c r="W20" s="108">
        <f t="shared" si="5"/>
        <v>500000</v>
      </c>
      <c r="Y20" s="19">
        <v>500000</v>
      </c>
      <c r="Z20" s="44">
        <f t="shared" si="6"/>
        <v>0</v>
      </c>
    </row>
    <row r="21" spans="1:26" x14ac:dyDescent="0.25">
      <c r="A21" s="6">
        <v>7</v>
      </c>
      <c r="B21" s="25" t="s">
        <v>5</v>
      </c>
      <c r="C21" s="8"/>
      <c r="D21" s="8"/>
      <c r="E21" s="8"/>
      <c r="F21" s="8"/>
      <c r="G21" s="8"/>
      <c r="H21" s="8"/>
      <c r="I21" s="8"/>
      <c r="J21" s="10"/>
      <c r="K21" s="8"/>
      <c r="L21" s="8"/>
      <c r="M21" s="8"/>
      <c r="N21" s="107"/>
      <c r="O21" s="67">
        <f t="shared" si="4"/>
        <v>0</v>
      </c>
      <c r="P21" s="86"/>
      <c r="Q21" s="86">
        <v>36334.85</v>
      </c>
      <c r="R21" s="107">
        <v>123644.04</v>
      </c>
      <c r="S21" s="29">
        <v>123644.04</v>
      </c>
      <c r="T21" s="29">
        <v>123644.04</v>
      </c>
      <c r="U21" s="10">
        <v>92733.03</v>
      </c>
      <c r="V21" s="10"/>
      <c r="W21" s="108">
        <f t="shared" si="5"/>
        <v>500000</v>
      </c>
      <c r="Y21" s="19">
        <v>500000</v>
      </c>
      <c r="Z21" s="44">
        <f t="shared" si="6"/>
        <v>0</v>
      </c>
    </row>
    <row r="22" spans="1:26" x14ac:dyDescent="0.25">
      <c r="A22" s="12">
        <v>8</v>
      </c>
      <c r="B22" s="32" t="s">
        <v>6</v>
      </c>
      <c r="C22" s="9"/>
      <c r="D22" s="9"/>
      <c r="E22" s="9"/>
      <c r="F22" s="9"/>
      <c r="G22" s="9"/>
      <c r="H22" s="9"/>
      <c r="I22" s="9"/>
      <c r="J22" s="10"/>
      <c r="K22" s="9"/>
      <c r="L22" s="11"/>
      <c r="M22" s="9"/>
      <c r="N22" s="14">
        <v>0</v>
      </c>
      <c r="O22" s="67">
        <f t="shared" si="4"/>
        <v>0</v>
      </c>
      <c r="P22" s="86"/>
      <c r="Q22" s="86"/>
      <c r="R22" s="107">
        <v>113232.64</v>
      </c>
      <c r="S22" s="29">
        <v>145037.76000000001</v>
      </c>
      <c r="T22" s="29">
        <v>145037.76000000001</v>
      </c>
      <c r="U22" s="10">
        <v>96691.839999999997</v>
      </c>
      <c r="V22" s="10"/>
      <c r="W22" s="108">
        <f t="shared" si="5"/>
        <v>500000</v>
      </c>
      <c r="Y22" s="19">
        <v>500000</v>
      </c>
      <c r="Z22" s="44">
        <f t="shared" si="6"/>
        <v>0</v>
      </c>
    </row>
    <row r="23" spans="1:26" x14ac:dyDescent="0.25">
      <c r="A23" s="6">
        <v>9</v>
      </c>
      <c r="B23" s="25" t="s">
        <v>7</v>
      </c>
      <c r="C23" s="8">
        <v>7680.79</v>
      </c>
      <c r="D23" s="8">
        <v>7680.79</v>
      </c>
      <c r="E23" s="8">
        <v>7680.79</v>
      </c>
      <c r="F23" s="8">
        <v>7680.79</v>
      </c>
      <c r="G23" s="8">
        <v>7680.79</v>
      </c>
      <c r="H23" s="8">
        <v>7680.79</v>
      </c>
      <c r="I23" s="8">
        <v>7680.79</v>
      </c>
      <c r="J23" s="8">
        <v>748.65</v>
      </c>
      <c r="K23" s="8"/>
      <c r="L23" s="8"/>
      <c r="M23" s="8"/>
      <c r="N23" s="8"/>
      <c r="O23" s="67">
        <f>SUM(C23:N23)</f>
        <v>54514.18</v>
      </c>
      <c r="P23" s="86"/>
      <c r="Q23" s="86">
        <v>92169.48</v>
      </c>
      <c r="R23" s="107">
        <v>92169.48</v>
      </c>
      <c r="S23" s="29">
        <v>92169.48</v>
      </c>
      <c r="T23" s="29">
        <v>92169.48</v>
      </c>
      <c r="U23" s="10">
        <v>76807.899999999994</v>
      </c>
      <c r="V23" s="10"/>
      <c r="W23" s="108">
        <f t="shared" si="5"/>
        <v>500000</v>
      </c>
      <c r="Y23" s="19">
        <v>500000</v>
      </c>
      <c r="Z23" s="44">
        <f t="shared" si="6"/>
        <v>0</v>
      </c>
    </row>
    <row r="24" spans="1:26" x14ac:dyDescent="0.25">
      <c r="A24" s="6">
        <v>10</v>
      </c>
      <c r="B24" s="25" t="s">
        <v>8</v>
      </c>
      <c r="C24" s="8">
        <v>7069.71</v>
      </c>
      <c r="D24" s="8">
        <v>7069.71</v>
      </c>
      <c r="E24" s="8">
        <v>7069.71</v>
      </c>
      <c r="F24" s="8">
        <v>7069.71</v>
      </c>
      <c r="G24" s="8">
        <v>7069.71</v>
      </c>
      <c r="H24" s="8">
        <v>7069.71</v>
      </c>
      <c r="I24" s="8">
        <v>7069.71</v>
      </c>
      <c r="J24" s="8">
        <v>7069.71</v>
      </c>
      <c r="K24" s="8">
        <v>7069.71</v>
      </c>
      <c r="L24" s="8">
        <v>7069.71</v>
      </c>
      <c r="M24" s="8">
        <v>7069.71</v>
      </c>
      <c r="N24" s="8">
        <v>7069.71</v>
      </c>
      <c r="O24" s="67">
        <f t="shared" si="4"/>
        <v>84836.520000000019</v>
      </c>
      <c r="P24" s="86"/>
      <c r="Q24" s="86">
        <v>84836.52</v>
      </c>
      <c r="R24" s="107">
        <v>84836.52</v>
      </c>
      <c r="S24" s="107">
        <v>84836.52</v>
      </c>
      <c r="T24" s="107">
        <v>84836.52</v>
      </c>
      <c r="U24" s="107">
        <v>63627.39</v>
      </c>
      <c r="V24" s="10"/>
      <c r="W24" s="108">
        <f t="shared" si="5"/>
        <v>487809.99000000011</v>
      </c>
      <c r="Y24" s="19">
        <v>500000</v>
      </c>
      <c r="Z24" s="44">
        <f t="shared" si="6"/>
        <v>12190.009999999893</v>
      </c>
    </row>
    <row r="25" spans="1:26" x14ac:dyDescent="0.25">
      <c r="A25" s="6">
        <v>11</v>
      </c>
      <c r="B25" s="25" t="s">
        <v>52</v>
      </c>
      <c r="C25" s="8">
        <v>5515.34</v>
      </c>
      <c r="D25" s="8">
        <v>5515.34</v>
      </c>
      <c r="E25" s="8">
        <v>5515.34</v>
      </c>
      <c r="F25" s="8">
        <v>5515.34</v>
      </c>
      <c r="G25" s="8">
        <v>5515.34</v>
      </c>
      <c r="H25" s="8">
        <v>5515.34</v>
      </c>
      <c r="I25" s="8">
        <v>5515.34</v>
      </c>
      <c r="J25" s="8">
        <v>5515.34</v>
      </c>
      <c r="K25" s="8">
        <v>5515.34</v>
      </c>
      <c r="L25" s="8">
        <v>5515.34</v>
      </c>
      <c r="M25" s="8">
        <v>5515.34</v>
      </c>
      <c r="N25" s="8">
        <v>5515.34</v>
      </c>
      <c r="O25" s="67">
        <f t="shared" si="4"/>
        <v>66184.079999999987</v>
      </c>
      <c r="P25" s="86"/>
      <c r="Q25" s="86">
        <v>66184.08</v>
      </c>
      <c r="R25" s="107">
        <v>66184.08</v>
      </c>
      <c r="S25" s="107">
        <v>66184.08</v>
      </c>
      <c r="T25" s="107">
        <v>66184.08</v>
      </c>
      <c r="U25" s="107">
        <v>60668.74</v>
      </c>
      <c r="V25" s="10"/>
      <c r="W25" s="108">
        <f t="shared" si="5"/>
        <v>391589.14</v>
      </c>
      <c r="Y25" s="19">
        <v>500000</v>
      </c>
      <c r="Z25" s="44">
        <f t="shared" si="6"/>
        <v>108410.85999999999</v>
      </c>
    </row>
    <row r="26" spans="1:26" x14ac:dyDescent="0.25">
      <c r="A26" s="6"/>
      <c r="B26" s="33" t="s">
        <v>18</v>
      </c>
      <c r="C26" s="58">
        <f>SUM(C15:C25)</f>
        <v>20265.84</v>
      </c>
      <c r="D26" s="58">
        <f t="shared" ref="D26:H26" si="7">SUM(D15:D25)</f>
        <v>20265.84</v>
      </c>
      <c r="E26" s="58">
        <f t="shared" si="7"/>
        <v>20265.84</v>
      </c>
      <c r="F26" s="58">
        <f t="shared" si="7"/>
        <v>20265.84</v>
      </c>
      <c r="G26" s="58">
        <f t="shared" si="7"/>
        <v>20265.84</v>
      </c>
      <c r="H26" s="58">
        <f t="shared" si="7"/>
        <v>20265.84</v>
      </c>
      <c r="I26" s="58">
        <f>SUM(I15:I25)</f>
        <v>20265.84</v>
      </c>
      <c r="J26" s="108">
        <f>SUM(J15:J25)</f>
        <v>13333.7</v>
      </c>
      <c r="K26" s="58">
        <f>SUM(K15:K25)</f>
        <v>12585.05</v>
      </c>
      <c r="L26" s="58">
        <f>SUM(L15:L25)</f>
        <v>12585.05</v>
      </c>
      <c r="M26" s="58">
        <f>SUM(M16:M25)</f>
        <v>12585.05</v>
      </c>
      <c r="N26" s="34">
        <f>SUM(N16:N25)</f>
        <v>12585.05</v>
      </c>
      <c r="O26" s="67">
        <f>SUM(O16:O25)</f>
        <v>205534.78</v>
      </c>
      <c r="P26" s="86"/>
      <c r="Q26" s="86">
        <f>SUM(Q15:Q25)</f>
        <v>368253.63</v>
      </c>
      <c r="R26" s="34">
        <f>SUM(R15:R25)</f>
        <v>833191.5199999999</v>
      </c>
      <c r="S26" s="34">
        <f t="shared" ref="S26:V26" si="8">SUM(S15:S25)</f>
        <v>1107443.8500000001</v>
      </c>
      <c r="T26" s="34">
        <f>SUM(T15:T25)</f>
        <v>1300723.5900000001</v>
      </c>
      <c r="U26" s="34">
        <f t="shared" si="8"/>
        <v>951972.48</v>
      </c>
      <c r="V26" s="34">
        <f t="shared" si="8"/>
        <v>0</v>
      </c>
      <c r="W26" s="108">
        <f>O26+R26+S26+T26+U26+V26+Q26</f>
        <v>4767119.8500000006</v>
      </c>
      <c r="Y26" s="19">
        <v>500000</v>
      </c>
      <c r="Z26" s="44">
        <f t="shared" si="6"/>
        <v>-4267119.8500000006</v>
      </c>
    </row>
    <row r="27" spans="1:26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49"/>
      <c r="K27" s="36"/>
      <c r="L27" s="37"/>
      <c r="M27" s="664"/>
      <c r="N27" s="664"/>
      <c r="O27" s="68"/>
      <c r="P27" s="21"/>
      <c r="Q27" s="21"/>
      <c r="R27" s="38"/>
      <c r="S27" s="38"/>
      <c r="T27" s="21"/>
      <c r="U27" s="39"/>
      <c r="V27" s="76"/>
      <c r="W27" s="39"/>
    </row>
    <row r="28" spans="1:26" x14ac:dyDescent="0.25">
      <c r="O28" s="71"/>
      <c r="T28" s="78"/>
      <c r="U28" s="76"/>
      <c r="V28" s="76"/>
      <c r="W28" s="39"/>
    </row>
    <row r="29" spans="1:26" x14ac:dyDescent="0.25">
      <c r="A29" s="659" t="s">
        <v>44</v>
      </c>
      <c r="B29" s="659"/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"/>
      <c r="P29" s="89"/>
      <c r="Q29" s="89"/>
      <c r="R29" s="23"/>
      <c r="S29" s="23"/>
      <c r="T29" s="78"/>
      <c r="U29" s="76"/>
      <c r="V29" s="76"/>
      <c r="W29" s="39"/>
    </row>
    <row r="30" spans="1:26" ht="24" customHeight="1" x14ac:dyDescent="0.25">
      <c r="A30" s="2" t="s">
        <v>17</v>
      </c>
      <c r="B30" s="2" t="s">
        <v>16</v>
      </c>
      <c r="C30" s="2" t="s">
        <v>9</v>
      </c>
      <c r="D30" s="2" t="s">
        <v>10</v>
      </c>
      <c r="E30" s="2" t="s">
        <v>11</v>
      </c>
      <c r="F30" s="2" t="s">
        <v>12</v>
      </c>
      <c r="G30" s="2" t="s">
        <v>13</v>
      </c>
      <c r="H30" s="2" t="s">
        <v>14</v>
      </c>
      <c r="I30" s="2" t="s">
        <v>15</v>
      </c>
      <c r="J30" s="92" t="s">
        <v>24</v>
      </c>
      <c r="K30" s="2" t="s">
        <v>25</v>
      </c>
      <c r="L30" s="2" t="s">
        <v>26</v>
      </c>
      <c r="M30" s="2" t="s">
        <v>27</v>
      </c>
      <c r="N30" s="3" t="s">
        <v>28</v>
      </c>
      <c r="O30" s="62">
        <v>2021</v>
      </c>
      <c r="P30" s="85">
        <v>2020</v>
      </c>
      <c r="Q30" s="90">
        <v>2019</v>
      </c>
      <c r="R30" s="3">
        <v>2018</v>
      </c>
      <c r="S30" s="3">
        <v>2017</v>
      </c>
      <c r="T30" s="79">
        <v>2016</v>
      </c>
      <c r="U30" s="79">
        <v>2015</v>
      </c>
      <c r="V30" s="79">
        <v>2014</v>
      </c>
      <c r="W30" s="79"/>
    </row>
    <row r="31" spans="1:26" x14ac:dyDescent="0.25">
      <c r="A31" s="12">
        <v>1</v>
      </c>
      <c r="B31" s="13" t="s">
        <v>32</v>
      </c>
      <c r="C31" s="53"/>
      <c r="D31" s="53"/>
      <c r="E31" s="9"/>
      <c r="F31" s="9"/>
      <c r="G31" s="9"/>
      <c r="H31" s="9"/>
      <c r="I31" s="9"/>
      <c r="J31" s="93"/>
      <c r="K31" s="9"/>
      <c r="L31" s="9"/>
      <c r="M31" s="9"/>
      <c r="N31" s="14"/>
      <c r="O31" s="67">
        <f>SUM(C31:N31)</f>
        <v>0</v>
      </c>
      <c r="P31" s="86"/>
      <c r="Q31" s="86"/>
      <c r="R31" s="107">
        <v>168620.37</v>
      </c>
      <c r="S31" s="107">
        <v>172893.72</v>
      </c>
      <c r="T31" s="10">
        <v>158485.91</v>
      </c>
      <c r="U31" s="10"/>
      <c r="V31" s="10"/>
      <c r="W31" s="75">
        <f>O31+R31+S31+T31+U31+V31+Q31+P31</f>
        <v>500000</v>
      </c>
      <c r="Y31" s="19">
        <v>500000</v>
      </c>
      <c r="Z31" s="44">
        <f t="shared" ref="Z31:Z42" si="9">Y31-W31</f>
        <v>0</v>
      </c>
    </row>
    <row r="32" spans="1:26" x14ac:dyDescent="0.25">
      <c r="A32" s="6">
        <v>2</v>
      </c>
      <c r="B32" s="7" t="s">
        <v>33</v>
      </c>
      <c r="C32" s="40"/>
      <c r="D32" s="40"/>
      <c r="E32" s="8"/>
      <c r="F32" s="8"/>
      <c r="G32" s="8"/>
      <c r="H32" s="8"/>
      <c r="I32" s="8"/>
      <c r="J32" s="93"/>
      <c r="K32" s="8"/>
      <c r="L32" s="8"/>
      <c r="M32" s="8"/>
      <c r="N32" s="107"/>
      <c r="O32" s="67">
        <f t="shared" ref="O32:O41" si="10">SUM(C32:N32)</f>
        <v>0</v>
      </c>
      <c r="P32" s="86"/>
      <c r="Q32" s="86">
        <v>19547.36</v>
      </c>
      <c r="R32" s="107">
        <v>169571.52</v>
      </c>
      <c r="S32" s="107">
        <v>169571.52</v>
      </c>
      <c r="T32" s="10">
        <v>141309.6</v>
      </c>
      <c r="U32" s="10"/>
      <c r="V32" s="10"/>
      <c r="W32" s="75">
        <f t="shared" ref="W32:W41" si="11">O32+R32+S32+T32+U32+V32+Q32+P32</f>
        <v>500000</v>
      </c>
      <c r="Y32" s="19">
        <v>500000</v>
      </c>
      <c r="Z32" s="44">
        <f t="shared" si="9"/>
        <v>0</v>
      </c>
    </row>
    <row r="33" spans="1:28" x14ac:dyDescent="0.25">
      <c r="A33" s="6">
        <v>3</v>
      </c>
      <c r="B33" s="7" t="s">
        <v>34</v>
      </c>
      <c r="C33" s="8">
        <v>4277.87</v>
      </c>
      <c r="D33" s="8"/>
      <c r="E33" s="8"/>
      <c r="F33" s="8"/>
      <c r="G33" s="8"/>
      <c r="H33" s="8"/>
      <c r="I33" s="8"/>
      <c r="J33" s="93"/>
      <c r="K33" s="93"/>
      <c r="L33" s="93"/>
      <c r="M33" s="93"/>
      <c r="N33" s="93"/>
      <c r="O33" s="67">
        <f t="shared" si="10"/>
        <v>4277.87</v>
      </c>
      <c r="P33" s="86">
        <v>100824.84</v>
      </c>
      <c r="Q33" s="86">
        <v>100824.84</v>
      </c>
      <c r="R33" s="107">
        <v>100824.84</v>
      </c>
      <c r="S33" s="107">
        <v>100824.84</v>
      </c>
      <c r="T33" s="107">
        <v>92422.77</v>
      </c>
      <c r="U33" s="10"/>
      <c r="V33" s="10"/>
      <c r="W33" s="75">
        <f>O33+R33+S33+T33+U33+V33+Q33+P33</f>
        <v>500000</v>
      </c>
      <c r="Y33" s="19">
        <v>500000</v>
      </c>
      <c r="Z33" s="44">
        <f t="shared" si="9"/>
        <v>0</v>
      </c>
    </row>
    <row r="34" spans="1:28" x14ac:dyDescent="0.25">
      <c r="A34" s="6">
        <v>4</v>
      </c>
      <c r="B34" s="7" t="s">
        <v>35</v>
      </c>
      <c r="C34" s="8">
        <v>2329.1</v>
      </c>
      <c r="D34" s="8">
        <v>2329.1</v>
      </c>
      <c r="E34" s="8">
        <v>2329.1</v>
      </c>
      <c r="F34" s="8">
        <v>2329.1</v>
      </c>
      <c r="G34" s="8">
        <v>2329.1</v>
      </c>
      <c r="H34" s="8">
        <v>2329.1</v>
      </c>
      <c r="I34" s="8">
        <v>2329.1</v>
      </c>
      <c r="J34" s="93">
        <v>2329.1</v>
      </c>
      <c r="K34" s="93">
        <v>2329.1</v>
      </c>
      <c r="L34" s="93">
        <v>2329.1</v>
      </c>
      <c r="M34" s="93">
        <v>2329.1</v>
      </c>
      <c r="N34" s="93">
        <v>2329.1</v>
      </c>
      <c r="O34" s="67">
        <f t="shared" si="10"/>
        <v>27949.199999999993</v>
      </c>
      <c r="P34" s="86">
        <v>24949.200000000001</v>
      </c>
      <c r="Q34" s="86">
        <v>27949.200000000001</v>
      </c>
      <c r="R34" s="107">
        <v>27949.200000000001</v>
      </c>
      <c r="S34" s="107">
        <v>27949.200000000001</v>
      </c>
      <c r="T34" s="107">
        <v>25620.1</v>
      </c>
      <c r="U34" s="10"/>
      <c r="V34" s="10"/>
      <c r="W34" s="75">
        <f t="shared" si="11"/>
        <v>162366.1</v>
      </c>
      <c r="Y34" s="19">
        <v>500000</v>
      </c>
      <c r="Z34" s="44">
        <f t="shared" si="9"/>
        <v>337633.9</v>
      </c>
    </row>
    <row r="35" spans="1:28" x14ac:dyDescent="0.25">
      <c r="A35" s="6">
        <v>5</v>
      </c>
      <c r="B35" s="7" t="s">
        <v>36</v>
      </c>
      <c r="C35" s="8"/>
      <c r="D35" s="8"/>
      <c r="E35" s="8"/>
      <c r="F35" s="8"/>
      <c r="G35" s="8"/>
      <c r="H35" s="8"/>
      <c r="I35" s="8"/>
      <c r="J35" s="93"/>
      <c r="K35" s="93"/>
      <c r="L35" s="93"/>
      <c r="M35" s="93"/>
      <c r="N35" s="93"/>
      <c r="O35" s="67">
        <f t="shared" si="10"/>
        <v>0</v>
      </c>
      <c r="P35" s="86">
        <v>45243.08</v>
      </c>
      <c r="Q35" s="86">
        <v>118632.24</v>
      </c>
      <c r="R35" s="107">
        <v>118632.24</v>
      </c>
      <c r="S35" s="107">
        <v>118632.24</v>
      </c>
      <c r="T35" s="10">
        <v>98860.2</v>
      </c>
      <c r="U35" s="10"/>
      <c r="V35" s="10"/>
      <c r="W35" s="75">
        <f t="shared" si="11"/>
        <v>500000</v>
      </c>
      <c r="Y35" s="19">
        <v>500000</v>
      </c>
      <c r="Z35" s="44">
        <f t="shared" si="9"/>
        <v>0</v>
      </c>
    </row>
    <row r="36" spans="1:28" x14ac:dyDescent="0.25">
      <c r="A36" s="6">
        <v>6</v>
      </c>
      <c r="B36" s="7" t="s">
        <v>37</v>
      </c>
      <c r="C36" s="8"/>
      <c r="D36" s="8"/>
      <c r="E36" s="8"/>
      <c r="F36" s="8"/>
      <c r="G36" s="8"/>
      <c r="H36" s="8"/>
      <c r="I36" s="8"/>
      <c r="J36" s="93"/>
      <c r="K36" s="93"/>
      <c r="L36" s="93"/>
      <c r="M36" s="93"/>
      <c r="N36" s="93"/>
      <c r="O36" s="67">
        <f t="shared" si="10"/>
        <v>0</v>
      </c>
      <c r="P36" s="86"/>
      <c r="Q36" s="86">
        <v>131861.24</v>
      </c>
      <c r="R36" s="107">
        <v>133868.64000000001</v>
      </c>
      <c r="S36" s="107">
        <v>133868.64000000001</v>
      </c>
      <c r="T36" s="107">
        <v>100401.48</v>
      </c>
      <c r="U36" s="10"/>
      <c r="V36" s="10"/>
      <c r="W36" s="75">
        <f t="shared" si="11"/>
        <v>500000</v>
      </c>
      <c r="Y36" s="19">
        <v>500000</v>
      </c>
      <c r="Z36" s="44">
        <f t="shared" si="9"/>
        <v>0</v>
      </c>
    </row>
    <row r="37" spans="1:28" x14ac:dyDescent="0.25">
      <c r="A37" s="6">
        <v>7</v>
      </c>
      <c r="B37" s="7" t="s">
        <v>38</v>
      </c>
      <c r="C37" s="105">
        <v>4215.5200000000004</v>
      </c>
      <c r="D37" s="105">
        <v>4215.5200000000004</v>
      </c>
      <c r="E37" s="105">
        <v>4215.5200000000004</v>
      </c>
      <c r="F37" s="8">
        <v>4215.5200000000004</v>
      </c>
      <c r="G37" s="8">
        <v>4215.5200000000004</v>
      </c>
      <c r="H37" s="8">
        <v>4215.5200000000004</v>
      </c>
      <c r="I37" s="8">
        <v>4215.5200000000004</v>
      </c>
      <c r="J37" s="93">
        <v>4215.5200000000004</v>
      </c>
      <c r="K37" s="93">
        <v>4215.5200000000004</v>
      </c>
      <c r="L37" s="93">
        <v>4215.5200000000004</v>
      </c>
      <c r="M37" s="93">
        <v>4215.5200000000004</v>
      </c>
      <c r="N37" s="93">
        <v>4215.5200000000004</v>
      </c>
      <c r="O37" s="67">
        <f t="shared" si="10"/>
        <v>50586.24000000002</v>
      </c>
      <c r="P37" s="86">
        <v>50586.239999999998</v>
      </c>
      <c r="Q37" s="86">
        <v>86369.64</v>
      </c>
      <c r="R37" s="107">
        <v>86369.64</v>
      </c>
      <c r="S37" s="107">
        <v>86369.64</v>
      </c>
      <c r="T37" s="107">
        <v>57579.76</v>
      </c>
      <c r="U37" s="10"/>
      <c r="V37" s="10"/>
      <c r="W37" s="75">
        <f>O37+R37+S37+T37+U37+V37+Q37+P37</f>
        <v>417861.16000000003</v>
      </c>
      <c r="Y37" s="19">
        <v>500000</v>
      </c>
      <c r="Z37" s="44">
        <f t="shared" si="9"/>
        <v>82138.839999999967</v>
      </c>
    </row>
    <row r="38" spans="1:28" x14ac:dyDescent="0.25">
      <c r="A38" s="6">
        <v>8</v>
      </c>
      <c r="B38" s="7" t="s">
        <v>39</v>
      </c>
      <c r="C38" s="8"/>
      <c r="D38" s="8"/>
      <c r="E38" s="8"/>
      <c r="F38" s="8"/>
      <c r="G38" s="8"/>
      <c r="H38" s="8"/>
      <c r="I38" s="8"/>
      <c r="J38" s="93"/>
      <c r="K38" s="93"/>
      <c r="L38" s="93"/>
      <c r="M38" s="93"/>
      <c r="N38" s="93"/>
      <c r="O38" s="67">
        <f t="shared" si="10"/>
        <v>0</v>
      </c>
      <c r="P38" s="86">
        <v>91679.31</v>
      </c>
      <c r="Q38" s="86">
        <v>113949.96</v>
      </c>
      <c r="R38" s="107">
        <v>113949.96</v>
      </c>
      <c r="S38" s="107">
        <v>113949.96</v>
      </c>
      <c r="T38" s="107">
        <v>66470.81</v>
      </c>
      <c r="U38" s="10"/>
      <c r="V38" s="10"/>
      <c r="W38" s="75">
        <f t="shared" si="11"/>
        <v>500000</v>
      </c>
      <c r="Y38" s="19">
        <v>500000</v>
      </c>
      <c r="Z38" s="44">
        <f t="shared" si="9"/>
        <v>0</v>
      </c>
    </row>
    <row r="39" spans="1:28" x14ac:dyDescent="0.25">
      <c r="A39" s="6">
        <v>9</v>
      </c>
      <c r="B39" s="7" t="s">
        <v>40</v>
      </c>
      <c r="C39" s="8"/>
      <c r="D39" s="8"/>
      <c r="E39" s="8"/>
      <c r="F39" s="8"/>
      <c r="G39" s="8"/>
      <c r="H39" s="8"/>
      <c r="I39" s="8"/>
      <c r="J39" s="93"/>
      <c r="K39" s="93"/>
      <c r="L39" s="93"/>
      <c r="M39" s="93"/>
      <c r="N39" s="93"/>
      <c r="O39" s="67">
        <f t="shared" si="10"/>
        <v>0</v>
      </c>
      <c r="P39" s="86">
        <v>56536.76</v>
      </c>
      <c r="Q39" s="86">
        <v>120944.52</v>
      </c>
      <c r="R39" s="107">
        <v>120944.52</v>
      </c>
      <c r="S39" s="107">
        <v>120944.52</v>
      </c>
      <c r="T39" s="107">
        <v>80629.679999999993</v>
      </c>
      <c r="U39" s="10"/>
      <c r="V39" s="10"/>
      <c r="W39" s="75">
        <f t="shared" si="11"/>
        <v>500000</v>
      </c>
      <c r="Y39" s="19">
        <v>500000</v>
      </c>
      <c r="Z39" s="44">
        <f t="shared" si="9"/>
        <v>0</v>
      </c>
    </row>
    <row r="40" spans="1:28" x14ac:dyDescent="0.25">
      <c r="A40" s="6">
        <v>10</v>
      </c>
      <c r="B40" s="7" t="s">
        <v>41</v>
      </c>
      <c r="C40" s="8">
        <v>7901.15</v>
      </c>
      <c r="D40" s="8">
        <v>7901.15</v>
      </c>
      <c r="E40" s="8">
        <v>7901.15</v>
      </c>
      <c r="F40" s="8">
        <v>7901.15</v>
      </c>
      <c r="G40" s="8">
        <v>7901.15</v>
      </c>
      <c r="H40" s="8">
        <v>7901.15</v>
      </c>
      <c r="I40" s="8">
        <v>7901.15</v>
      </c>
      <c r="J40" s="93">
        <v>2227.5500000000002</v>
      </c>
      <c r="K40" s="93"/>
      <c r="L40" s="93"/>
      <c r="M40" s="93"/>
      <c r="N40" s="93"/>
      <c r="O40" s="67">
        <f t="shared" si="10"/>
        <v>57535.600000000006</v>
      </c>
      <c r="P40" s="86">
        <v>94813.8</v>
      </c>
      <c r="Q40" s="86">
        <v>94813.8</v>
      </c>
      <c r="R40" s="107">
        <v>94813.8</v>
      </c>
      <c r="S40" s="107">
        <v>94813.8</v>
      </c>
      <c r="T40" s="107">
        <v>63209.2</v>
      </c>
      <c r="U40" s="10"/>
      <c r="V40" s="10"/>
      <c r="W40" s="75">
        <f t="shared" si="11"/>
        <v>500000</v>
      </c>
      <c r="X40" s="110"/>
      <c r="Z40" s="44"/>
    </row>
    <row r="41" spans="1:28" x14ac:dyDescent="0.25">
      <c r="A41" s="6">
        <v>11</v>
      </c>
      <c r="B41" s="41" t="s">
        <v>42</v>
      </c>
      <c r="C41" s="665" t="s">
        <v>47</v>
      </c>
      <c r="D41" s="666"/>
      <c r="E41" s="667"/>
      <c r="F41" s="8"/>
      <c r="G41" s="8"/>
      <c r="H41" s="8"/>
      <c r="I41" s="8"/>
      <c r="J41" s="93"/>
      <c r="K41" s="8"/>
      <c r="L41" s="8"/>
      <c r="M41" s="8"/>
      <c r="N41" s="107"/>
      <c r="O41" s="67">
        <f t="shared" si="10"/>
        <v>0</v>
      </c>
      <c r="P41" s="86"/>
      <c r="Q41" s="86"/>
      <c r="R41" s="107">
        <v>0</v>
      </c>
      <c r="S41" s="107">
        <v>77771.58</v>
      </c>
      <c r="T41" s="10">
        <v>30364.68</v>
      </c>
      <c r="U41" s="10"/>
      <c r="V41" s="10"/>
      <c r="W41" s="75">
        <f t="shared" si="11"/>
        <v>108136.26000000001</v>
      </c>
      <c r="Y41" s="19">
        <v>500000</v>
      </c>
      <c r="Z41" s="44">
        <f t="shared" si="9"/>
        <v>391863.74</v>
      </c>
    </row>
    <row r="42" spans="1:28" x14ac:dyDescent="0.25">
      <c r="A42" s="15"/>
      <c r="B42" s="16" t="s">
        <v>18</v>
      </c>
      <c r="C42" s="17">
        <f>SUM(C31:C41)</f>
        <v>18723.64</v>
      </c>
      <c r="D42" s="17">
        <f t="shared" ref="D42:S42" si="12">SUM(D31:D41)</f>
        <v>14445.77</v>
      </c>
      <c r="E42" s="17">
        <f t="shared" si="12"/>
        <v>14445.77</v>
      </c>
      <c r="F42" s="17">
        <f t="shared" si="12"/>
        <v>14445.77</v>
      </c>
      <c r="G42" s="17">
        <f t="shared" si="12"/>
        <v>14445.77</v>
      </c>
      <c r="H42" s="17">
        <f t="shared" si="12"/>
        <v>14445.77</v>
      </c>
      <c r="I42" s="17">
        <f t="shared" si="12"/>
        <v>14445.77</v>
      </c>
      <c r="J42" s="94">
        <f t="shared" si="12"/>
        <v>8772.1700000000019</v>
      </c>
      <c r="K42" s="17">
        <f t="shared" si="12"/>
        <v>6544.6200000000008</v>
      </c>
      <c r="L42" s="17">
        <f t="shared" si="12"/>
        <v>6544.6200000000008</v>
      </c>
      <c r="M42" s="17">
        <f t="shared" si="12"/>
        <v>6544.6200000000008</v>
      </c>
      <c r="N42" s="18">
        <f t="shared" si="12"/>
        <v>6544.6200000000008</v>
      </c>
      <c r="O42" s="63">
        <f t="shared" si="12"/>
        <v>140348.91000000003</v>
      </c>
      <c r="P42" s="87"/>
      <c r="Q42" s="18">
        <f t="shared" si="12"/>
        <v>814892.8</v>
      </c>
      <c r="R42" s="18">
        <f t="shared" si="12"/>
        <v>1135544.73</v>
      </c>
      <c r="S42" s="18">
        <f t="shared" si="12"/>
        <v>1217589.6600000001</v>
      </c>
      <c r="T42" s="108">
        <f>SUM(T31:T41)</f>
        <v>915354.19000000006</v>
      </c>
      <c r="U42" s="108"/>
      <c r="V42" s="108"/>
      <c r="W42" s="75">
        <f>SUM(W31:W41)</f>
        <v>4688363.5199999996</v>
      </c>
      <c r="Y42" s="19">
        <v>500000</v>
      </c>
      <c r="Z42" s="44">
        <f t="shared" si="9"/>
        <v>-4188363.5199999996</v>
      </c>
    </row>
    <row r="43" spans="1:28" x14ac:dyDescent="0.25">
      <c r="N43" s="42"/>
      <c r="O43" s="69"/>
      <c r="P43" s="59"/>
      <c r="Q43" s="59"/>
      <c r="R43" s="42"/>
      <c r="S43" s="43"/>
      <c r="T43" s="78"/>
      <c r="U43" s="76"/>
      <c r="V43" s="76"/>
      <c r="W43" s="39"/>
    </row>
    <row r="44" spans="1:28" x14ac:dyDescent="0.25">
      <c r="O44" s="71"/>
      <c r="T44" s="78"/>
      <c r="U44" s="76"/>
      <c r="V44" s="76"/>
      <c r="W44" s="39"/>
    </row>
    <row r="45" spans="1:28" ht="15" customHeight="1" x14ac:dyDescent="0.25">
      <c r="K45" s="44"/>
      <c r="O45" s="71"/>
    </row>
    <row r="46" spans="1:28" x14ac:dyDescent="0.25">
      <c r="A46" s="659" t="s">
        <v>45</v>
      </c>
      <c r="B46" s="659"/>
      <c r="C46" s="659"/>
      <c r="D46" s="659"/>
      <c r="E46" s="659"/>
      <c r="F46" s="659"/>
      <c r="G46" s="659"/>
      <c r="H46" s="659"/>
      <c r="I46" s="659"/>
      <c r="J46" s="659"/>
      <c r="K46" s="659"/>
      <c r="L46" s="659"/>
      <c r="M46" s="659"/>
      <c r="N46" s="659"/>
      <c r="O46" s="65"/>
      <c r="P46" s="89"/>
      <c r="Q46" s="89"/>
      <c r="R46" s="23"/>
      <c r="S46" s="23"/>
      <c r="T46" s="78"/>
      <c r="U46" s="76"/>
      <c r="V46" s="76"/>
      <c r="W46" s="39"/>
    </row>
    <row r="47" spans="1:28" ht="24" x14ac:dyDescent="0.25">
      <c r="A47" s="2" t="s">
        <v>17</v>
      </c>
      <c r="B47" s="2" t="s">
        <v>16</v>
      </c>
      <c r="C47" s="2" t="s">
        <v>9</v>
      </c>
      <c r="D47" s="2" t="s">
        <v>10</v>
      </c>
      <c r="E47" s="2" t="s">
        <v>11</v>
      </c>
      <c r="F47" s="2" t="s">
        <v>12</v>
      </c>
      <c r="G47" s="2" t="s">
        <v>13</v>
      </c>
      <c r="H47" s="2" t="s">
        <v>14</v>
      </c>
      <c r="I47" s="2" t="s">
        <v>15</v>
      </c>
      <c r="J47" s="54" t="s">
        <v>24</v>
      </c>
      <c r="K47" s="2" t="s">
        <v>25</v>
      </c>
      <c r="L47" s="2" t="s">
        <v>26</v>
      </c>
      <c r="M47" s="2" t="s">
        <v>27</v>
      </c>
      <c r="N47" s="3" t="s">
        <v>28</v>
      </c>
      <c r="O47" s="62">
        <v>2021</v>
      </c>
      <c r="P47" s="85">
        <v>2020</v>
      </c>
      <c r="Q47" s="90">
        <v>2019</v>
      </c>
      <c r="R47" s="3">
        <v>2018</v>
      </c>
      <c r="S47" s="3">
        <v>2017</v>
      </c>
      <c r="T47" s="79">
        <v>2016</v>
      </c>
      <c r="U47" s="79">
        <v>2015</v>
      </c>
      <c r="V47" s="79">
        <v>2014</v>
      </c>
      <c r="W47" s="79"/>
    </row>
    <row r="48" spans="1:28" x14ac:dyDescent="0.25">
      <c r="A48" s="6">
        <v>1</v>
      </c>
      <c r="B48" s="51"/>
      <c r="C48" s="60"/>
      <c r="D48" s="60"/>
      <c r="E48" s="60"/>
      <c r="F48" s="60"/>
      <c r="G48" s="60"/>
      <c r="H48" s="60"/>
      <c r="I48" s="60"/>
      <c r="J48" s="95"/>
      <c r="K48" s="95"/>
      <c r="L48" s="95"/>
      <c r="M48" s="95"/>
      <c r="N48" s="95"/>
      <c r="O48" s="72">
        <f>SUM(C48:N48)</f>
        <v>0</v>
      </c>
      <c r="P48" s="91">
        <v>90055.400000000009</v>
      </c>
      <c r="Q48" s="91">
        <v>118525.44</v>
      </c>
      <c r="R48" s="107">
        <v>118525.44</v>
      </c>
      <c r="S48" s="107">
        <v>172893.72</v>
      </c>
      <c r="T48" s="10"/>
      <c r="U48" s="10"/>
      <c r="V48" s="10"/>
      <c r="W48" s="75">
        <f>O48+R48+S48+T48+U48+V48+Q48+P48</f>
        <v>500000.00000000006</v>
      </c>
      <c r="Y48" s="19">
        <v>500000</v>
      </c>
      <c r="Z48" s="44">
        <f t="shared" ref="Z48:Z69" si="13">Y48-W48</f>
        <v>0</v>
      </c>
      <c r="AB48" s="111"/>
    </row>
    <row r="49" spans="1:28" x14ac:dyDescent="0.25">
      <c r="A49" s="6">
        <v>2</v>
      </c>
      <c r="B49" s="51"/>
      <c r="C49" s="60"/>
      <c r="D49" s="60"/>
      <c r="E49" s="60"/>
      <c r="F49" s="60"/>
      <c r="G49" s="60"/>
      <c r="H49" s="60"/>
      <c r="I49" s="60"/>
      <c r="J49" s="95"/>
      <c r="K49" s="95"/>
      <c r="L49" s="95"/>
      <c r="M49" s="95"/>
      <c r="N49" s="95"/>
      <c r="O49" s="72">
        <f t="shared" ref="O49:O68" si="14">SUM(C49:N49)</f>
        <v>0</v>
      </c>
      <c r="P49" s="91">
        <v>94078.159999999989</v>
      </c>
      <c r="Q49" s="91">
        <v>118175.16</v>
      </c>
      <c r="R49" s="107">
        <v>118175.16</v>
      </c>
      <c r="S49" s="107">
        <v>169571.52</v>
      </c>
      <c r="T49" s="10"/>
      <c r="U49" s="10"/>
      <c r="V49" s="10"/>
      <c r="W49" s="75">
        <f t="shared" ref="W49:W68" si="15">O49+R49+S49+T49+U49+V49+Q49+P49</f>
        <v>499999.99999999994</v>
      </c>
      <c r="Y49" s="19">
        <v>500000</v>
      </c>
      <c r="Z49" s="44">
        <f t="shared" si="13"/>
        <v>0</v>
      </c>
      <c r="AB49" s="111"/>
    </row>
    <row r="50" spans="1:28" x14ac:dyDescent="0.25">
      <c r="A50" s="6">
        <v>3</v>
      </c>
      <c r="B50" s="51"/>
      <c r="C50" s="60"/>
      <c r="D50" s="60"/>
      <c r="E50" s="60"/>
      <c r="F50" s="60"/>
      <c r="G50" s="60"/>
      <c r="H50" s="60"/>
      <c r="I50" s="60"/>
      <c r="J50" s="95"/>
      <c r="K50" s="95"/>
      <c r="L50" s="95"/>
      <c r="M50" s="95"/>
      <c r="N50" s="95"/>
      <c r="O50" s="72">
        <f t="shared" si="14"/>
        <v>0</v>
      </c>
      <c r="P50" s="91">
        <v>132195.55999999997</v>
      </c>
      <c r="Q50" s="91">
        <v>133489.79999999999</v>
      </c>
      <c r="R50" s="107">
        <v>133489.79999999999</v>
      </c>
      <c r="S50" s="107">
        <v>100824.84</v>
      </c>
      <c r="T50" s="10"/>
      <c r="U50" s="10"/>
      <c r="V50" s="10"/>
      <c r="W50" s="75">
        <f t="shared" si="15"/>
        <v>499999.99999999988</v>
      </c>
      <c r="Y50" s="19">
        <v>500000</v>
      </c>
      <c r="Z50" s="44">
        <f t="shared" si="13"/>
        <v>0</v>
      </c>
      <c r="AB50" s="111"/>
    </row>
    <row r="51" spans="1:28" x14ac:dyDescent="0.25">
      <c r="A51" s="6">
        <v>4</v>
      </c>
      <c r="B51" s="51"/>
      <c r="C51" s="60">
        <v>12056.45</v>
      </c>
      <c r="D51" s="60">
        <v>12056.45</v>
      </c>
      <c r="E51" s="60">
        <v>12056.45</v>
      </c>
      <c r="F51" s="60">
        <v>1849.25</v>
      </c>
      <c r="G51" s="60"/>
      <c r="H51" s="60"/>
      <c r="I51" s="60"/>
      <c r="J51" s="95"/>
      <c r="K51" s="95"/>
      <c r="L51" s="95"/>
      <c r="M51" s="95"/>
      <c r="N51" s="95"/>
      <c r="O51" s="72">
        <f t="shared" si="14"/>
        <v>38018.600000000006</v>
      </c>
      <c r="P51" s="91">
        <v>144677.4</v>
      </c>
      <c r="Q51" s="91">
        <v>144677.4</v>
      </c>
      <c r="R51" s="107">
        <v>144677.4</v>
      </c>
      <c r="S51" s="107">
        <v>27949.200000000001</v>
      </c>
      <c r="T51" s="10"/>
      <c r="U51" s="10"/>
      <c r="V51" s="10"/>
      <c r="W51" s="75">
        <f t="shared" si="15"/>
        <v>500000</v>
      </c>
      <c r="Y51" s="19">
        <v>500000</v>
      </c>
      <c r="Z51" s="44">
        <f t="shared" si="13"/>
        <v>0</v>
      </c>
      <c r="AB51" s="111"/>
    </row>
    <row r="52" spans="1:28" x14ac:dyDescent="0.25">
      <c r="A52" s="6">
        <v>5</v>
      </c>
      <c r="C52" s="60">
        <v>9081.06</v>
      </c>
      <c r="D52" s="60">
        <v>9081.06</v>
      </c>
      <c r="E52" s="60">
        <v>9081.06</v>
      </c>
      <c r="F52" s="60">
        <v>9081.06</v>
      </c>
      <c r="G52" s="60">
        <v>9081.06</v>
      </c>
      <c r="H52" s="60">
        <v>9044.2999999999993</v>
      </c>
      <c r="I52" s="60"/>
      <c r="J52" s="95"/>
      <c r="K52" s="95"/>
      <c r="L52" s="95"/>
      <c r="M52" s="95"/>
      <c r="N52" s="95"/>
      <c r="O52" s="72">
        <f t="shared" si="14"/>
        <v>54449.599999999991</v>
      </c>
      <c r="P52" s="91">
        <v>108972.71999999999</v>
      </c>
      <c r="Q52" s="91">
        <v>108972.72</v>
      </c>
      <c r="R52" s="107">
        <v>108972.72</v>
      </c>
      <c r="S52" s="107">
        <v>118632.24</v>
      </c>
      <c r="T52" s="10"/>
      <c r="U52" s="10"/>
      <c r="V52" s="10"/>
      <c r="W52" s="75">
        <f t="shared" si="15"/>
        <v>500000</v>
      </c>
      <c r="Y52" s="19">
        <v>500000</v>
      </c>
      <c r="Z52" s="44">
        <f t="shared" si="13"/>
        <v>0</v>
      </c>
      <c r="AB52" s="111"/>
    </row>
    <row r="53" spans="1:28" x14ac:dyDescent="0.25">
      <c r="A53" s="6">
        <v>6</v>
      </c>
      <c r="B53" s="7"/>
      <c r="C53" s="60">
        <v>5432.41</v>
      </c>
      <c r="D53" s="60">
        <v>5432.41</v>
      </c>
      <c r="E53" s="60">
        <v>5432.41</v>
      </c>
      <c r="F53" s="60">
        <v>5432.41</v>
      </c>
      <c r="G53" s="60">
        <v>5432.41</v>
      </c>
      <c r="H53" s="60">
        <v>5432.41</v>
      </c>
      <c r="I53" s="60">
        <v>5432.41</v>
      </c>
      <c r="J53" s="95">
        <v>5432.41</v>
      </c>
      <c r="K53" s="95">
        <v>5432.41</v>
      </c>
      <c r="L53" s="95">
        <v>5432.41</v>
      </c>
      <c r="M53" s="95">
        <v>5432.41</v>
      </c>
      <c r="N53" s="95">
        <v>5432.41</v>
      </c>
      <c r="O53" s="72">
        <f t="shared" si="14"/>
        <v>65188.920000000013</v>
      </c>
      <c r="P53" s="91">
        <v>65188.920000000013</v>
      </c>
      <c r="Q53" s="91">
        <v>65188.92</v>
      </c>
      <c r="R53" s="107">
        <v>65188.92</v>
      </c>
      <c r="S53" s="107">
        <v>133868.64000000001</v>
      </c>
      <c r="T53" s="10"/>
      <c r="U53" s="10"/>
      <c r="V53" s="10"/>
      <c r="W53" s="75">
        <f>O53+R53+S53+T53+U53+V53+Q53+P53</f>
        <v>394624.32000000007</v>
      </c>
      <c r="Y53" s="19">
        <v>500000</v>
      </c>
      <c r="Z53" s="44">
        <f t="shared" si="13"/>
        <v>105375.67999999993</v>
      </c>
      <c r="AB53" s="111"/>
    </row>
    <row r="54" spans="1:28" x14ac:dyDescent="0.25">
      <c r="A54" s="6">
        <v>7</v>
      </c>
      <c r="B54" s="7"/>
      <c r="C54" s="8">
        <v>5441.94</v>
      </c>
      <c r="D54" s="8">
        <v>5441.94</v>
      </c>
      <c r="E54" s="8">
        <v>5441.94</v>
      </c>
      <c r="F54" s="8">
        <v>5441.94</v>
      </c>
      <c r="G54" s="8">
        <v>5441.94</v>
      </c>
      <c r="H54" s="8">
        <v>5441.94</v>
      </c>
      <c r="I54" s="8">
        <v>5441.94</v>
      </c>
      <c r="J54" s="93">
        <v>5441.94</v>
      </c>
      <c r="K54" s="93">
        <v>5441.94</v>
      </c>
      <c r="L54" s="93">
        <v>5441.94</v>
      </c>
      <c r="M54" s="93">
        <v>5441.94</v>
      </c>
      <c r="N54" s="93">
        <v>5441.94</v>
      </c>
      <c r="O54" s="72">
        <f t="shared" si="14"/>
        <v>65303.280000000006</v>
      </c>
      <c r="P54" s="91">
        <v>65303.280000000006</v>
      </c>
      <c r="Q54" s="91">
        <v>65303.28</v>
      </c>
      <c r="R54" s="107">
        <v>65303.28</v>
      </c>
      <c r="S54" s="107">
        <v>86369.64</v>
      </c>
      <c r="T54" s="10"/>
      <c r="U54" s="10"/>
      <c r="V54" s="10"/>
      <c r="W54" s="75">
        <f t="shared" si="15"/>
        <v>347582.76</v>
      </c>
      <c r="Y54" s="19">
        <v>500000</v>
      </c>
      <c r="Z54" s="44">
        <f t="shared" si="13"/>
        <v>152417.24</v>
      </c>
      <c r="AB54" s="111"/>
    </row>
    <row r="55" spans="1:28" x14ac:dyDescent="0.25">
      <c r="A55" s="6">
        <v>8</v>
      </c>
      <c r="B55" s="117"/>
      <c r="C55" s="105">
        <v>6667.05</v>
      </c>
      <c r="D55" s="105">
        <v>6667.05</v>
      </c>
      <c r="E55" s="105">
        <v>6667.05</v>
      </c>
      <c r="F55" s="105">
        <v>6667.05</v>
      </c>
      <c r="G55" s="105">
        <v>6667.05</v>
      </c>
      <c r="H55" s="105">
        <v>0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72">
        <f t="shared" si="14"/>
        <v>33335.25</v>
      </c>
      <c r="P55" s="91">
        <v>80004.60000000002</v>
      </c>
      <c r="Q55" s="91">
        <v>80004.600000000006</v>
      </c>
      <c r="R55" s="107">
        <v>80004.600000000006</v>
      </c>
      <c r="S55" s="107">
        <v>113949.96</v>
      </c>
      <c r="T55" s="10"/>
      <c r="U55" s="10"/>
      <c r="V55" s="10"/>
      <c r="W55" s="75">
        <f t="shared" si="15"/>
        <v>387299.01000000007</v>
      </c>
      <c r="Y55" s="19">
        <v>500000</v>
      </c>
      <c r="Z55" s="44">
        <f t="shared" si="13"/>
        <v>112700.98999999993</v>
      </c>
      <c r="AB55" s="111"/>
    </row>
    <row r="56" spans="1:28" x14ac:dyDescent="0.25">
      <c r="A56" s="6">
        <v>9</v>
      </c>
      <c r="B56" s="45"/>
      <c r="C56" s="8">
        <v>8260.09</v>
      </c>
      <c r="D56" s="8">
        <v>8260.09</v>
      </c>
      <c r="E56" s="8">
        <v>8260.09</v>
      </c>
      <c r="F56" s="8">
        <v>8260.09</v>
      </c>
      <c r="G56" s="8">
        <v>8260.09</v>
      </c>
      <c r="H56" s="8">
        <v>8260.09</v>
      </c>
      <c r="I56" s="8">
        <v>8260.09</v>
      </c>
      <c r="J56" s="93">
        <v>8260.09</v>
      </c>
      <c r="K56" s="93">
        <v>8260.09</v>
      </c>
      <c r="L56" s="93">
        <v>7351.43</v>
      </c>
      <c r="M56" s="93"/>
      <c r="N56" s="93"/>
      <c r="O56" s="72">
        <f t="shared" si="14"/>
        <v>81692.239999999991</v>
      </c>
      <c r="P56" s="91">
        <v>99121.079999999973</v>
      </c>
      <c r="Q56" s="91">
        <v>99121.08</v>
      </c>
      <c r="R56" s="107">
        <v>99121.08</v>
      </c>
      <c r="S56" s="107">
        <v>120944.52</v>
      </c>
      <c r="T56" s="10"/>
      <c r="U56" s="10"/>
      <c r="V56" s="10"/>
      <c r="W56" s="75">
        <f t="shared" si="15"/>
        <v>500000</v>
      </c>
      <c r="Y56" s="19">
        <v>500000</v>
      </c>
      <c r="Z56" s="44">
        <f t="shared" si="13"/>
        <v>0</v>
      </c>
      <c r="AB56" s="111"/>
    </row>
    <row r="57" spans="1:28" x14ac:dyDescent="0.25">
      <c r="A57" s="6">
        <v>10</v>
      </c>
      <c r="B57" s="45"/>
      <c r="C57" s="8">
        <v>3933.38</v>
      </c>
      <c r="D57" s="8">
        <v>3933.38</v>
      </c>
      <c r="E57" s="8">
        <v>3933.38</v>
      </c>
      <c r="F57" s="8">
        <v>3933.38</v>
      </c>
      <c r="G57" s="8">
        <v>3933.38</v>
      </c>
      <c r="H57" s="8">
        <v>3933.38</v>
      </c>
      <c r="I57" s="8">
        <v>3933.38</v>
      </c>
      <c r="J57" s="93">
        <v>3933.38</v>
      </c>
      <c r="K57" s="93">
        <v>3933.38</v>
      </c>
      <c r="L57" s="93">
        <v>3933.38</v>
      </c>
      <c r="M57" s="93">
        <v>3933.38</v>
      </c>
      <c r="N57" s="93">
        <v>3933.38</v>
      </c>
      <c r="O57" s="72">
        <f t="shared" si="14"/>
        <v>47200.56</v>
      </c>
      <c r="P57" s="91">
        <v>47200.56</v>
      </c>
      <c r="Q57" s="91">
        <v>47200.56</v>
      </c>
      <c r="R57" s="107">
        <v>47200.56</v>
      </c>
      <c r="S57" s="107">
        <v>94813.8</v>
      </c>
      <c r="T57" s="10"/>
      <c r="U57" s="10"/>
      <c r="V57" s="10"/>
      <c r="W57" s="75">
        <f t="shared" si="15"/>
        <v>283616.03999999998</v>
      </c>
      <c r="Y57" s="19">
        <v>500000</v>
      </c>
      <c r="Z57" s="44">
        <f t="shared" si="13"/>
        <v>216383.96000000002</v>
      </c>
      <c r="AB57" s="111"/>
    </row>
    <row r="58" spans="1:28" x14ac:dyDescent="0.25">
      <c r="A58" s="30">
        <v>11</v>
      </c>
      <c r="B58" s="45"/>
      <c r="C58" s="10">
        <v>5906.56</v>
      </c>
      <c r="D58" s="10">
        <v>5906.56</v>
      </c>
      <c r="E58" s="10">
        <v>5906.56</v>
      </c>
      <c r="F58" s="10">
        <v>5906.56</v>
      </c>
      <c r="G58" s="10">
        <v>5906.56</v>
      </c>
      <c r="H58" s="10">
        <v>5906.56</v>
      </c>
      <c r="I58" s="10">
        <v>5906.56</v>
      </c>
      <c r="J58" s="93">
        <v>5906.56</v>
      </c>
      <c r="K58" s="93">
        <v>5906.56</v>
      </c>
      <c r="L58" s="93">
        <v>5906.56</v>
      </c>
      <c r="M58" s="93">
        <v>5906.56</v>
      </c>
      <c r="N58" s="93">
        <v>5906.56</v>
      </c>
      <c r="O58" s="72">
        <f t="shared" si="14"/>
        <v>70878.719999999987</v>
      </c>
      <c r="P58" s="91">
        <v>70878.719999999987</v>
      </c>
      <c r="Q58" s="91">
        <v>70878.720000000001</v>
      </c>
      <c r="R58" s="107">
        <v>85292.37</v>
      </c>
      <c r="S58" s="107">
        <v>77771.58</v>
      </c>
      <c r="T58" s="10"/>
      <c r="U58" s="10"/>
      <c r="V58" s="10"/>
      <c r="W58" s="75">
        <f t="shared" si="15"/>
        <v>375700.11</v>
      </c>
      <c r="Y58" s="19">
        <v>500000</v>
      </c>
      <c r="Z58" s="44">
        <f t="shared" si="13"/>
        <v>124299.89000000001</v>
      </c>
      <c r="AB58" s="111"/>
    </row>
    <row r="59" spans="1:28" x14ac:dyDescent="0.25">
      <c r="A59" s="6">
        <v>12</v>
      </c>
      <c r="B59" s="45"/>
      <c r="C59" s="8"/>
      <c r="D59" s="8"/>
      <c r="E59" s="8"/>
      <c r="F59" s="8"/>
      <c r="G59" s="8"/>
      <c r="H59" s="8"/>
      <c r="I59" s="8"/>
      <c r="J59" s="93"/>
      <c r="K59" s="93"/>
      <c r="L59" s="93"/>
      <c r="M59" s="93"/>
      <c r="N59" s="93"/>
      <c r="O59" s="72">
        <f t="shared" si="14"/>
        <v>0</v>
      </c>
      <c r="P59" s="91">
        <v>124066.40999999999</v>
      </c>
      <c r="Q59" s="91">
        <v>145522.68</v>
      </c>
      <c r="R59" s="107">
        <v>145522.68</v>
      </c>
      <c r="S59" s="107">
        <v>84888.23</v>
      </c>
      <c r="T59" s="10"/>
      <c r="U59" s="10"/>
      <c r="V59" s="10"/>
      <c r="W59" s="75">
        <f t="shared" si="15"/>
        <v>499999.99999999994</v>
      </c>
      <c r="Y59" s="19">
        <v>500000</v>
      </c>
      <c r="Z59" s="44">
        <f t="shared" si="13"/>
        <v>0</v>
      </c>
      <c r="AB59" s="111"/>
    </row>
    <row r="60" spans="1:28" x14ac:dyDescent="0.25">
      <c r="A60" s="6">
        <v>13</v>
      </c>
      <c r="B60" s="45"/>
      <c r="C60" s="8"/>
      <c r="D60" s="8"/>
      <c r="E60" s="8"/>
      <c r="F60" s="8"/>
      <c r="G60" s="8"/>
      <c r="H60" s="8"/>
      <c r="I60" s="8"/>
      <c r="J60" s="93"/>
      <c r="K60" s="93"/>
      <c r="L60" s="93"/>
      <c r="M60" s="93"/>
      <c r="N60" s="93"/>
      <c r="O60" s="72">
        <f t="shared" si="14"/>
        <v>0</v>
      </c>
      <c r="P60" s="91">
        <v>0</v>
      </c>
      <c r="Q60" s="91">
        <v>165299.9</v>
      </c>
      <c r="R60" s="107">
        <v>191257.2</v>
      </c>
      <c r="S60" s="107">
        <v>143442.9</v>
      </c>
      <c r="T60" s="10"/>
      <c r="U60" s="10"/>
      <c r="V60" s="10"/>
      <c r="W60" s="75">
        <f t="shared" si="15"/>
        <v>500000</v>
      </c>
      <c r="Y60" s="19">
        <v>500000</v>
      </c>
      <c r="Z60" s="44">
        <f t="shared" si="13"/>
        <v>0</v>
      </c>
      <c r="AB60" s="111"/>
    </row>
    <row r="61" spans="1:28" x14ac:dyDescent="0.25">
      <c r="A61" s="6">
        <v>14</v>
      </c>
      <c r="B61" s="45"/>
      <c r="C61" s="8">
        <v>10059.33</v>
      </c>
      <c r="D61" s="8">
        <v>10059.33</v>
      </c>
      <c r="E61" s="8">
        <v>10059.33</v>
      </c>
      <c r="F61" s="8">
        <v>10059.33</v>
      </c>
      <c r="G61" s="8">
        <v>10059.33</v>
      </c>
      <c r="H61" s="8">
        <v>10059.33</v>
      </c>
      <c r="I61" s="8">
        <v>10059.33</v>
      </c>
      <c r="J61" s="93">
        <v>10059.33</v>
      </c>
      <c r="K61" s="93">
        <v>10059.33</v>
      </c>
      <c r="L61" s="93">
        <v>10059.33</v>
      </c>
      <c r="M61" s="93">
        <v>10059.33</v>
      </c>
      <c r="N61" s="93">
        <v>10059.33</v>
      </c>
      <c r="O61" s="72">
        <f t="shared" si="14"/>
        <v>120711.96</v>
      </c>
      <c r="P61" s="91">
        <v>120711.96</v>
      </c>
      <c r="Q61" s="91">
        <v>120711.96</v>
      </c>
      <c r="R61" s="107">
        <v>120711.96</v>
      </c>
      <c r="S61" s="107">
        <v>0</v>
      </c>
      <c r="T61" s="10"/>
      <c r="U61" s="10"/>
      <c r="V61" s="10"/>
      <c r="W61" s="75">
        <f t="shared" si="15"/>
        <v>482847.84</v>
      </c>
      <c r="Y61" s="19">
        <v>500000</v>
      </c>
      <c r="Z61" s="44">
        <f t="shared" si="13"/>
        <v>17152.159999999974</v>
      </c>
      <c r="AB61" s="111"/>
    </row>
    <row r="62" spans="1:28" x14ac:dyDescent="0.25">
      <c r="A62" s="6">
        <v>15</v>
      </c>
      <c r="B62" s="45"/>
      <c r="C62" s="8">
        <v>10044.43</v>
      </c>
      <c r="D62" s="8">
        <v>10044.43</v>
      </c>
      <c r="E62" s="8">
        <v>10044.43</v>
      </c>
      <c r="F62" s="8">
        <v>10044.43</v>
      </c>
      <c r="G62" s="8">
        <v>10044.43</v>
      </c>
      <c r="H62" s="8">
        <v>10044.43</v>
      </c>
      <c r="I62" s="8">
        <v>10044.43</v>
      </c>
      <c r="J62" s="93">
        <v>10044.43</v>
      </c>
      <c r="K62" s="93">
        <v>10044.43</v>
      </c>
      <c r="L62" s="93">
        <v>10044.43</v>
      </c>
      <c r="M62" s="93">
        <v>10044.43</v>
      </c>
      <c r="N62" s="93">
        <v>10044.43</v>
      </c>
      <c r="O62" s="72">
        <f t="shared" si="14"/>
        <v>120533.15999999997</v>
      </c>
      <c r="P62" s="91">
        <v>120533.15999999997</v>
      </c>
      <c r="Q62" s="91">
        <v>120533.16</v>
      </c>
      <c r="R62" s="107">
        <v>120533.16</v>
      </c>
      <c r="S62" s="107">
        <v>0</v>
      </c>
      <c r="T62" s="10"/>
      <c r="U62" s="10"/>
      <c r="V62" s="10"/>
      <c r="W62" s="75">
        <f t="shared" si="15"/>
        <v>482132.63999999996</v>
      </c>
      <c r="Y62" s="19">
        <v>500000</v>
      </c>
      <c r="Z62" s="44">
        <f t="shared" si="13"/>
        <v>17867.360000000044</v>
      </c>
      <c r="AB62" s="111"/>
    </row>
    <row r="63" spans="1:28" x14ac:dyDescent="0.25">
      <c r="A63" s="6">
        <v>16</v>
      </c>
      <c r="B63" s="45"/>
      <c r="C63" s="8">
        <v>9148.56</v>
      </c>
      <c r="D63" s="8">
        <v>9148.56</v>
      </c>
      <c r="E63" s="8">
        <v>9148.56</v>
      </c>
      <c r="F63" s="8">
        <v>9148.56</v>
      </c>
      <c r="G63" s="8">
        <v>9148.56</v>
      </c>
      <c r="H63" s="8">
        <v>9148.56</v>
      </c>
      <c r="I63" s="8">
        <v>9148.56</v>
      </c>
      <c r="J63" s="93">
        <v>9148.56</v>
      </c>
      <c r="K63" s="93">
        <v>9148.56</v>
      </c>
      <c r="L63" s="93">
        <v>9148.56</v>
      </c>
      <c r="M63" s="93">
        <v>9148.56</v>
      </c>
      <c r="N63" s="93">
        <v>9148.56</v>
      </c>
      <c r="O63" s="72">
        <f t="shared" si="14"/>
        <v>109782.71999999999</v>
      </c>
      <c r="P63" s="91">
        <v>109782.71999999999</v>
      </c>
      <c r="Q63" s="91">
        <v>109782.72</v>
      </c>
      <c r="R63" s="107">
        <v>109782.72</v>
      </c>
      <c r="S63" s="107">
        <v>0</v>
      </c>
      <c r="T63" s="10"/>
      <c r="U63" s="10"/>
      <c r="V63" s="10"/>
      <c r="W63" s="75">
        <f t="shared" si="15"/>
        <v>439130.88</v>
      </c>
      <c r="Y63" s="19">
        <v>500000</v>
      </c>
      <c r="Z63" s="44">
        <f t="shared" si="13"/>
        <v>60869.119999999995</v>
      </c>
      <c r="AB63" s="111"/>
    </row>
    <row r="64" spans="1:28" x14ac:dyDescent="0.25">
      <c r="A64" s="6">
        <v>17</v>
      </c>
      <c r="B64" s="45"/>
      <c r="C64" s="8">
        <v>3301.87</v>
      </c>
      <c r="D64" s="8">
        <v>3301.87</v>
      </c>
      <c r="E64" s="8">
        <v>3301.87</v>
      </c>
      <c r="F64" s="8">
        <v>3301.87</v>
      </c>
      <c r="G64" s="8">
        <v>3301.87</v>
      </c>
      <c r="H64" s="8">
        <v>3301.87</v>
      </c>
      <c r="I64" s="8">
        <v>3301.87</v>
      </c>
      <c r="J64" s="93">
        <v>3301.87</v>
      </c>
      <c r="K64" s="93">
        <v>3301.87</v>
      </c>
      <c r="L64" s="93">
        <v>3301.87</v>
      </c>
      <c r="M64" s="93">
        <v>3301.87</v>
      </c>
      <c r="N64" s="93">
        <v>3301.87</v>
      </c>
      <c r="O64" s="72">
        <f t="shared" si="14"/>
        <v>39622.44</v>
      </c>
      <c r="P64" s="91">
        <v>39622.44</v>
      </c>
      <c r="Q64" s="91">
        <v>39622.44</v>
      </c>
      <c r="R64" s="107">
        <v>39622.44</v>
      </c>
      <c r="S64" s="107">
        <v>0</v>
      </c>
      <c r="T64" s="10"/>
      <c r="U64" s="10"/>
      <c r="V64" s="10"/>
      <c r="W64" s="75">
        <f t="shared" si="15"/>
        <v>158489.76</v>
      </c>
      <c r="Y64" s="19">
        <v>500000</v>
      </c>
      <c r="Z64" s="44">
        <f t="shared" si="13"/>
        <v>341510.24</v>
      </c>
      <c r="AB64" s="111"/>
    </row>
    <row r="65" spans="1:28" x14ac:dyDescent="0.25">
      <c r="A65" s="6">
        <v>18</v>
      </c>
      <c r="B65" s="45"/>
      <c r="C65" s="8">
        <v>7453.56</v>
      </c>
      <c r="D65" s="8">
        <v>7453.56</v>
      </c>
      <c r="E65" s="8">
        <v>7453.56</v>
      </c>
      <c r="F65" s="8">
        <v>7453.56</v>
      </c>
      <c r="G65" s="8">
        <v>7453.56</v>
      </c>
      <c r="H65" s="8">
        <v>7453.56</v>
      </c>
      <c r="I65" s="8">
        <v>7453.56</v>
      </c>
      <c r="J65" s="93">
        <v>7453.56</v>
      </c>
      <c r="K65" s="93">
        <v>7453.56</v>
      </c>
      <c r="L65" s="93">
        <v>7453.56</v>
      </c>
      <c r="M65" s="93">
        <v>7453.56</v>
      </c>
      <c r="N65" s="93">
        <v>7453.56</v>
      </c>
      <c r="O65" s="72">
        <f t="shared" si="14"/>
        <v>89442.719999999987</v>
      </c>
      <c r="P65" s="91">
        <v>89442.719999999987</v>
      </c>
      <c r="Q65" s="91">
        <v>89442.72</v>
      </c>
      <c r="R65" s="107">
        <v>89442.72</v>
      </c>
      <c r="S65" s="107">
        <v>0</v>
      </c>
      <c r="T65" s="10"/>
      <c r="U65" s="10"/>
      <c r="V65" s="10"/>
      <c r="W65" s="75">
        <f t="shared" si="15"/>
        <v>357770.88</v>
      </c>
      <c r="Y65" s="19">
        <v>500000</v>
      </c>
      <c r="Z65" s="44">
        <f t="shared" si="13"/>
        <v>142229.12</v>
      </c>
      <c r="AB65" s="111"/>
    </row>
    <row r="66" spans="1:28" x14ac:dyDescent="0.25">
      <c r="A66" s="6">
        <v>19</v>
      </c>
      <c r="B66" s="45"/>
      <c r="C66" s="8">
        <v>8933.85</v>
      </c>
      <c r="D66" s="8">
        <v>8933.85</v>
      </c>
      <c r="E66" s="8">
        <v>8933.85</v>
      </c>
      <c r="F66" s="8">
        <v>8933.85</v>
      </c>
      <c r="G66" s="8">
        <v>8933.85</v>
      </c>
      <c r="H66" s="8">
        <v>8933.85</v>
      </c>
      <c r="I66" s="8">
        <v>8933.85</v>
      </c>
      <c r="J66" s="93">
        <v>8933.85</v>
      </c>
      <c r="K66" s="93">
        <v>8933.85</v>
      </c>
      <c r="L66" s="93">
        <v>8933.85</v>
      </c>
      <c r="M66" s="93">
        <v>8933.85</v>
      </c>
      <c r="N66" s="93">
        <v>8933.85</v>
      </c>
      <c r="O66" s="72">
        <f t="shared" si="14"/>
        <v>107206.20000000003</v>
      </c>
      <c r="P66" s="91">
        <v>107206.20000000003</v>
      </c>
      <c r="Q66" s="91">
        <v>107206.2</v>
      </c>
      <c r="R66" s="107">
        <v>107206.2</v>
      </c>
      <c r="S66" s="107">
        <v>0</v>
      </c>
      <c r="T66" s="10"/>
      <c r="U66" s="10"/>
      <c r="V66" s="10"/>
      <c r="W66" s="75">
        <f t="shared" si="15"/>
        <v>428824.80000000005</v>
      </c>
      <c r="Y66" s="19">
        <v>500000</v>
      </c>
      <c r="Z66" s="44">
        <f t="shared" si="13"/>
        <v>71175.199999999953</v>
      </c>
      <c r="AB66" s="111"/>
    </row>
    <row r="67" spans="1:28" x14ac:dyDescent="0.25">
      <c r="A67" s="6">
        <v>20</v>
      </c>
      <c r="B67" s="45"/>
      <c r="C67" s="8">
        <v>6576.61</v>
      </c>
      <c r="D67" s="8">
        <v>6576.61</v>
      </c>
      <c r="E67" s="8">
        <v>6576.61</v>
      </c>
      <c r="F67" s="8">
        <v>6576.61</v>
      </c>
      <c r="G67" s="8">
        <v>6576.61</v>
      </c>
      <c r="H67" s="8">
        <v>6576.61</v>
      </c>
      <c r="I67" s="8">
        <v>6576.61</v>
      </c>
      <c r="J67" s="93">
        <v>6576.61</v>
      </c>
      <c r="K67" s="93">
        <v>6576.61</v>
      </c>
      <c r="L67" s="93">
        <v>6576.61</v>
      </c>
      <c r="M67" s="93">
        <v>6576.61</v>
      </c>
      <c r="N67" s="93">
        <v>6576.61</v>
      </c>
      <c r="O67" s="72">
        <f t="shared" si="14"/>
        <v>78919.319999999992</v>
      </c>
      <c r="P67" s="91">
        <v>78919.319999999992</v>
      </c>
      <c r="Q67" s="91">
        <v>78919.320000000007</v>
      </c>
      <c r="R67" s="107">
        <v>78919.320000000007</v>
      </c>
      <c r="S67" s="107">
        <v>0</v>
      </c>
      <c r="T67" s="10"/>
      <c r="U67" s="10"/>
      <c r="V67" s="10"/>
      <c r="W67" s="75">
        <f t="shared" si="15"/>
        <v>315677.28000000003</v>
      </c>
      <c r="Y67" s="19">
        <v>500000</v>
      </c>
      <c r="Z67" s="44">
        <f t="shared" si="13"/>
        <v>184322.71999999997</v>
      </c>
      <c r="AB67" s="111"/>
    </row>
    <row r="68" spans="1:28" x14ac:dyDescent="0.25">
      <c r="A68" s="6">
        <v>21</v>
      </c>
      <c r="B68" s="45"/>
      <c r="C68" s="8">
        <v>7009.14</v>
      </c>
      <c r="D68" s="8">
        <v>7009.14</v>
      </c>
      <c r="E68" s="8">
        <v>7009.14</v>
      </c>
      <c r="F68" s="8">
        <v>7009.14</v>
      </c>
      <c r="G68" s="8">
        <v>7009.14</v>
      </c>
      <c r="H68" s="8">
        <v>7009.14</v>
      </c>
      <c r="I68" s="8">
        <v>7009.14</v>
      </c>
      <c r="J68" s="93">
        <v>7009.14</v>
      </c>
      <c r="K68" s="93">
        <v>7009.14</v>
      </c>
      <c r="L68" s="93">
        <v>7009.14</v>
      </c>
      <c r="M68" s="93">
        <v>7009.14</v>
      </c>
      <c r="N68" s="93">
        <v>7009.14</v>
      </c>
      <c r="O68" s="72">
        <f t="shared" si="14"/>
        <v>84109.680000000008</v>
      </c>
      <c r="P68" s="91">
        <v>84109.680000000008</v>
      </c>
      <c r="Q68" s="91">
        <v>84109.68</v>
      </c>
      <c r="R68" s="107">
        <v>84109.68</v>
      </c>
      <c r="S68" s="107">
        <v>0</v>
      </c>
      <c r="T68" s="10"/>
      <c r="U68" s="10"/>
      <c r="V68" s="10"/>
      <c r="W68" s="75">
        <f t="shared" si="15"/>
        <v>336438.72</v>
      </c>
      <c r="Y68" s="19">
        <v>500000</v>
      </c>
      <c r="Z68" s="44">
        <f t="shared" si="13"/>
        <v>163561.28000000003</v>
      </c>
      <c r="AB68" s="111"/>
    </row>
    <row r="69" spans="1:28" x14ac:dyDescent="0.25">
      <c r="A69" s="15"/>
      <c r="B69" s="16" t="s">
        <v>18</v>
      </c>
      <c r="C69" s="17">
        <f>SUM(C48:C68)</f>
        <v>119306.28999999998</v>
      </c>
      <c r="D69" s="17">
        <f t="shared" ref="D69:S69" si="16">SUM(D48:D59)</f>
        <v>56778.939999999995</v>
      </c>
      <c r="E69" s="17">
        <f t="shared" si="16"/>
        <v>56778.939999999995</v>
      </c>
      <c r="F69" s="17">
        <f t="shared" si="16"/>
        <v>46571.74</v>
      </c>
      <c r="G69" s="17">
        <f t="shared" si="16"/>
        <v>44722.49</v>
      </c>
      <c r="H69" s="17">
        <f t="shared" si="16"/>
        <v>38018.68</v>
      </c>
      <c r="I69" s="17">
        <f t="shared" si="16"/>
        <v>28974.38</v>
      </c>
      <c r="J69" s="56">
        <f t="shared" si="16"/>
        <v>28974.38</v>
      </c>
      <c r="K69" s="17">
        <f t="shared" si="16"/>
        <v>28974.38</v>
      </c>
      <c r="L69" s="17">
        <f t="shared" si="16"/>
        <v>28065.72</v>
      </c>
      <c r="M69" s="17">
        <f t="shared" si="16"/>
        <v>20714.29</v>
      </c>
      <c r="N69" s="18">
        <f t="shared" si="16"/>
        <v>20714.29</v>
      </c>
      <c r="O69" s="63">
        <f t="shared" si="16"/>
        <v>456067.17</v>
      </c>
      <c r="P69" s="87">
        <f t="shared" si="16"/>
        <v>1121742.8099999998</v>
      </c>
      <c r="Q69" s="87">
        <f>SUM(Q48:Q68)</f>
        <v>2112688.4599999995</v>
      </c>
      <c r="R69" s="18">
        <f t="shared" si="16"/>
        <v>1211474.01</v>
      </c>
      <c r="S69" s="18">
        <f t="shared" si="16"/>
        <v>1302477.8900000001</v>
      </c>
      <c r="T69" s="108">
        <f>SUM(T48:T59)</f>
        <v>0</v>
      </c>
      <c r="U69" s="108"/>
      <c r="V69" s="108"/>
      <c r="W69" s="108">
        <f>SUM(W48:W68)</f>
        <v>8790135.0399999991</v>
      </c>
      <c r="Y69" s="19">
        <v>500000</v>
      </c>
      <c r="Z69" s="44">
        <f t="shared" si="13"/>
        <v>-8290135.0399999991</v>
      </c>
      <c r="AB69" s="111"/>
    </row>
    <row r="70" spans="1:28" x14ac:dyDescent="0.25">
      <c r="N70" s="42"/>
      <c r="O70" s="69"/>
      <c r="P70" s="59"/>
      <c r="Q70" s="59"/>
      <c r="R70" s="42"/>
      <c r="S70" s="43"/>
      <c r="T70" s="78"/>
      <c r="U70" s="76"/>
      <c r="V70" s="76"/>
      <c r="W70" s="39"/>
    </row>
    <row r="71" spans="1:28" x14ac:dyDescent="0.25">
      <c r="N71" s="42"/>
      <c r="O71" s="69"/>
      <c r="P71" s="59"/>
      <c r="Q71" s="59"/>
      <c r="R71" s="42"/>
      <c r="S71" s="43"/>
      <c r="T71" s="78"/>
      <c r="U71" s="76"/>
      <c r="V71" s="76"/>
      <c r="W71" s="39"/>
    </row>
    <row r="72" spans="1:28" x14ac:dyDescent="0.25">
      <c r="A72" s="659" t="s">
        <v>48</v>
      </c>
      <c r="B72" s="659"/>
      <c r="C72" s="659"/>
      <c r="D72" s="659"/>
      <c r="E72" s="659"/>
      <c r="F72" s="659"/>
      <c r="G72" s="659"/>
      <c r="H72" s="659"/>
      <c r="I72" s="659"/>
      <c r="J72" s="659"/>
      <c r="K72" s="659"/>
      <c r="L72" s="659"/>
      <c r="M72" s="659"/>
      <c r="N72" s="659"/>
      <c r="O72" s="65"/>
      <c r="P72" s="89"/>
      <c r="Q72" s="89"/>
      <c r="R72" s="23"/>
      <c r="S72" s="22"/>
      <c r="T72" s="76"/>
      <c r="U72" s="76"/>
      <c r="V72" s="39"/>
      <c r="W72" s="39"/>
    </row>
    <row r="73" spans="1:28" ht="24" x14ac:dyDescent="0.25">
      <c r="A73" s="2" t="s">
        <v>17</v>
      </c>
      <c r="B73" s="2" t="s">
        <v>16</v>
      </c>
      <c r="C73" s="2" t="s">
        <v>9</v>
      </c>
      <c r="D73" s="2" t="s">
        <v>10</v>
      </c>
      <c r="E73" s="2" t="s">
        <v>11</v>
      </c>
      <c r="F73" s="2" t="s">
        <v>12</v>
      </c>
      <c r="G73" s="2" t="s">
        <v>13</v>
      </c>
      <c r="H73" s="2" t="s">
        <v>14</v>
      </c>
      <c r="I73" s="2" t="s">
        <v>15</v>
      </c>
      <c r="J73" s="54" t="s">
        <v>24</v>
      </c>
      <c r="K73" s="2" t="s">
        <v>25</v>
      </c>
      <c r="L73" s="2" t="s">
        <v>26</v>
      </c>
      <c r="M73" s="2" t="s">
        <v>27</v>
      </c>
      <c r="N73" s="3" t="s">
        <v>28</v>
      </c>
      <c r="O73" s="62">
        <v>2021</v>
      </c>
      <c r="P73" s="85">
        <v>2020</v>
      </c>
      <c r="Q73" s="90">
        <v>2019</v>
      </c>
      <c r="R73" s="3">
        <v>2018</v>
      </c>
      <c r="S73" s="24"/>
      <c r="T73" s="79"/>
      <c r="U73" s="79"/>
      <c r="V73" s="82"/>
      <c r="W73" s="79"/>
    </row>
    <row r="74" spans="1:28" x14ac:dyDescent="0.25">
      <c r="A74" s="6">
        <v>1</v>
      </c>
      <c r="B74" s="46"/>
      <c r="C74" s="60">
        <v>5314.66</v>
      </c>
      <c r="D74" s="60">
        <v>5314.66</v>
      </c>
      <c r="E74" s="60">
        <v>5314.66</v>
      </c>
      <c r="F74" s="60">
        <v>5314.66</v>
      </c>
      <c r="G74" s="60">
        <v>5314.66</v>
      </c>
      <c r="H74" s="60">
        <v>5314.66</v>
      </c>
      <c r="I74" s="60">
        <v>5314.66</v>
      </c>
      <c r="J74" s="95">
        <v>5314.66</v>
      </c>
      <c r="K74" s="95">
        <v>5314.66</v>
      </c>
      <c r="L74" s="95">
        <v>5314.66</v>
      </c>
      <c r="M74" s="95">
        <v>5314.66</v>
      </c>
      <c r="N74" s="95">
        <v>5314.66</v>
      </c>
      <c r="O74" s="72">
        <f>SUM(C74:N74)</f>
        <v>63775.920000000013</v>
      </c>
      <c r="P74" s="91">
        <v>63775.920000000013</v>
      </c>
      <c r="Q74" s="91">
        <v>63775.92</v>
      </c>
      <c r="R74" s="107">
        <v>37202.620000000003</v>
      </c>
      <c r="S74" s="8"/>
      <c r="T74" s="10"/>
      <c r="U74" s="10"/>
      <c r="V74" s="30"/>
      <c r="W74" s="75">
        <f>O74+R74+S74+T74+U74+V74+Q74+P74</f>
        <v>228530.38000000003</v>
      </c>
      <c r="Y74" s="19">
        <v>500000</v>
      </c>
      <c r="Z74" s="44">
        <f t="shared" ref="Z74:Z90" si="17">Y74-W74</f>
        <v>271469.62</v>
      </c>
    </row>
    <row r="75" spans="1:28" x14ac:dyDescent="0.25">
      <c r="A75" s="6">
        <v>2</v>
      </c>
      <c r="B75" s="46"/>
      <c r="C75" s="60">
        <v>7334.18</v>
      </c>
      <c r="D75" s="60">
        <v>7334.18</v>
      </c>
      <c r="E75" s="60">
        <v>7334.18</v>
      </c>
      <c r="F75" s="60">
        <v>7334.18</v>
      </c>
      <c r="G75" s="60">
        <v>7334.18</v>
      </c>
      <c r="H75" s="60">
        <v>7334.18</v>
      </c>
      <c r="I75" s="60">
        <v>7334.18</v>
      </c>
      <c r="J75" s="95">
        <v>7334.18</v>
      </c>
      <c r="K75" s="95">
        <v>7334.18</v>
      </c>
      <c r="L75" s="95">
        <v>7334.18</v>
      </c>
      <c r="M75" s="95">
        <v>7334.18</v>
      </c>
      <c r="N75" s="95">
        <v>7334.18</v>
      </c>
      <c r="O75" s="72">
        <f t="shared" ref="O75:O89" si="18">SUM(C75:N75)</f>
        <v>88010.159999999974</v>
      </c>
      <c r="P75" s="91">
        <v>88010.159999999974</v>
      </c>
      <c r="Q75" s="91">
        <v>88010.16</v>
      </c>
      <c r="R75" s="107">
        <v>51339.26</v>
      </c>
      <c r="S75" s="8"/>
      <c r="T75" s="10"/>
      <c r="U75" s="10"/>
      <c r="V75" s="30"/>
      <c r="W75" s="75">
        <f t="shared" ref="W75:W89" si="19">O75+R75+S75+T75+U75+V75+Q75+P75</f>
        <v>315369.74</v>
      </c>
      <c r="Y75" s="19">
        <v>500000</v>
      </c>
      <c r="Z75" s="44">
        <f t="shared" si="17"/>
        <v>184630.26</v>
      </c>
    </row>
    <row r="76" spans="1:28" x14ac:dyDescent="0.25">
      <c r="A76" s="6">
        <v>3</v>
      </c>
      <c r="B76" s="46"/>
      <c r="C76" s="60">
        <v>8510.4699999999993</v>
      </c>
      <c r="D76" s="60">
        <v>8510.4699999999993</v>
      </c>
      <c r="E76" s="60">
        <v>8510.4699999999993</v>
      </c>
      <c r="F76" s="60">
        <v>8510.4699999999993</v>
      </c>
      <c r="G76" s="60">
        <v>8510.4699999999993</v>
      </c>
      <c r="H76" s="60">
        <v>8510.4699999999993</v>
      </c>
      <c r="I76" s="60">
        <v>8510.4699999999993</v>
      </c>
      <c r="J76" s="95">
        <v>8510.4699999999993</v>
      </c>
      <c r="K76" s="95">
        <v>8510.4699999999993</v>
      </c>
      <c r="L76" s="95">
        <v>8510.4699999999993</v>
      </c>
      <c r="M76" s="95">
        <v>8510.4699999999993</v>
      </c>
      <c r="N76" s="95">
        <v>8510.4699999999993</v>
      </c>
      <c r="O76" s="72">
        <f t="shared" si="18"/>
        <v>102125.64</v>
      </c>
      <c r="P76" s="91">
        <v>102125.64</v>
      </c>
      <c r="Q76" s="91">
        <v>102125.64</v>
      </c>
      <c r="R76" s="107">
        <v>59573.29</v>
      </c>
      <c r="S76" s="8"/>
      <c r="T76" s="10"/>
      <c r="U76" s="10"/>
      <c r="V76" s="30"/>
      <c r="W76" s="75">
        <f t="shared" si="19"/>
        <v>365950.21</v>
      </c>
      <c r="Y76" s="19">
        <v>500000</v>
      </c>
      <c r="Z76" s="44">
        <f t="shared" si="17"/>
        <v>134049.78999999998</v>
      </c>
    </row>
    <row r="77" spans="1:28" x14ac:dyDescent="0.25">
      <c r="A77" s="6">
        <v>4</v>
      </c>
      <c r="B77" s="46"/>
      <c r="C77" s="60">
        <v>9834.32</v>
      </c>
      <c r="D77" s="60">
        <v>9834.32</v>
      </c>
      <c r="E77" s="60">
        <v>9834.32</v>
      </c>
      <c r="F77" s="60">
        <v>9834.32</v>
      </c>
      <c r="G77" s="60">
        <v>9834.32</v>
      </c>
      <c r="H77" s="60">
        <v>9834.32</v>
      </c>
      <c r="I77" s="60">
        <v>9834.32</v>
      </c>
      <c r="J77" s="95">
        <v>9834.32</v>
      </c>
      <c r="K77" s="95">
        <v>9834.32</v>
      </c>
      <c r="L77" s="95">
        <v>9834.32</v>
      </c>
      <c r="M77" s="95">
        <v>9834.32</v>
      </c>
      <c r="N77" s="95">
        <v>9834.32</v>
      </c>
      <c r="O77" s="72">
        <f t="shared" si="18"/>
        <v>118011.84000000003</v>
      </c>
      <c r="P77" s="91">
        <v>118011.84000000003</v>
      </c>
      <c r="Q77" s="91">
        <v>118011.84</v>
      </c>
      <c r="R77" s="107">
        <v>108177.52</v>
      </c>
      <c r="S77" s="8"/>
      <c r="T77" s="10"/>
      <c r="U77" s="10"/>
      <c r="V77" s="30"/>
      <c r="W77" s="75">
        <f t="shared" si="19"/>
        <v>462213.0400000001</v>
      </c>
      <c r="Y77" s="19">
        <v>500000</v>
      </c>
      <c r="Z77" s="44">
        <f t="shared" si="17"/>
        <v>37786.959999999905</v>
      </c>
    </row>
    <row r="78" spans="1:28" x14ac:dyDescent="0.25">
      <c r="A78" s="6">
        <v>5</v>
      </c>
      <c r="B78" s="47"/>
      <c r="C78" s="60">
        <v>6941.57</v>
      </c>
      <c r="D78" s="60">
        <v>6941.57</v>
      </c>
      <c r="E78" s="60">
        <v>6941.57</v>
      </c>
      <c r="F78" s="60">
        <v>6941.57</v>
      </c>
      <c r="G78" s="60">
        <v>6941.57</v>
      </c>
      <c r="H78" s="60">
        <v>6941.57</v>
      </c>
      <c r="I78" s="60">
        <v>6941.57</v>
      </c>
      <c r="J78" s="95">
        <v>6941.57</v>
      </c>
      <c r="K78" s="95">
        <v>6941.57</v>
      </c>
      <c r="L78" s="95">
        <v>6941.57</v>
      </c>
      <c r="M78" s="95">
        <v>6941.57</v>
      </c>
      <c r="N78" s="95">
        <v>6941.57</v>
      </c>
      <c r="O78" s="72">
        <f t="shared" si="18"/>
        <v>83298.84</v>
      </c>
      <c r="P78" s="91">
        <v>83298.84</v>
      </c>
      <c r="Q78" s="91">
        <v>83298.84</v>
      </c>
      <c r="R78" s="107">
        <v>48590.99</v>
      </c>
      <c r="S78" s="8"/>
      <c r="T78" s="10"/>
      <c r="U78" s="10"/>
      <c r="V78" s="30"/>
      <c r="W78" s="75">
        <f t="shared" si="19"/>
        <v>298487.51</v>
      </c>
      <c r="Y78" s="19">
        <v>500000</v>
      </c>
      <c r="Z78" s="44">
        <f t="shared" si="17"/>
        <v>201512.49</v>
      </c>
    </row>
    <row r="79" spans="1:28" x14ac:dyDescent="0.25">
      <c r="A79" s="6">
        <v>6</v>
      </c>
      <c r="B79" s="46"/>
      <c r="C79" s="60">
        <v>4804.25</v>
      </c>
      <c r="D79" s="60">
        <v>4804.25</v>
      </c>
      <c r="E79" s="60">
        <v>4804.25</v>
      </c>
      <c r="F79" s="60">
        <v>4804.25</v>
      </c>
      <c r="G79" s="60">
        <v>4804.25</v>
      </c>
      <c r="H79" s="60">
        <v>4804.25</v>
      </c>
      <c r="I79" s="60">
        <v>4804.25</v>
      </c>
      <c r="J79" s="95">
        <v>4804.25</v>
      </c>
      <c r="K79" s="95">
        <v>4804.25</v>
      </c>
      <c r="L79" s="95">
        <v>4804.25</v>
      </c>
      <c r="M79" s="95">
        <v>4804.25</v>
      </c>
      <c r="N79" s="95">
        <v>4804.25</v>
      </c>
      <c r="O79" s="72">
        <f t="shared" si="18"/>
        <v>57651</v>
      </c>
      <c r="P79" s="91">
        <v>57651</v>
      </c>
      <c r="Q79" s="91">
        <v>57651</v>
      </c>
      <c r="R79" s="107">
        <v>24021.25</v>
      </c>
      <c r="S79" s="8"/>
      <c r="T79" s="10"/>
      <c r="U79" s="10"/>
      <c r="V79" s="30"/>
      <c r="W79" s="75">
        <f t="shared" si="19"/>
        <v>196974.25</v>
      </c>
      <c r="Y79" s="19">
        <v>500000</v>
      </c>
      <c r="Z79" s="44">
        <f t="shared" si="17"/>
        <v>303025.75</v>
      </c>
    </row>
    <row r="80" spans="1:28" x14ac:dyDescent="0.25">
      <c r="A80" s="6">
        <v>7</v>
      </c>
      <c r="B80" s="7"/>
      <c r="C80" s="8">
        <v>6833.45</v>
      </c>
      <c r="D80" s="8">
        <v>6833.45</v>
      </c>
      <c r="E80" s="8">
        <v>6833.45</v>
      </c>
      <c r="F80" s="8">
        <v>6833.45</v>
      </c>
      <c r="G80" s="8">
        <v>6833.45</v>
      </c>
      <c r="H80" s="8">
        <v>6833.45</v>
      </c>
      <c r="I80" s="8">
        <v>6833.45</v>
      </c>
      <c r="J80" s="93">
        <v>6833.45</v>
      </c>
      <c r="K80" s="93">
        <v>6833.45</v>
      </c>
      <c r="L80" s="93">
        <v>6833.45</v>
      </c>
      <c r="M80" s="93">
        <v>6833.45</v>
      </c>
      <c r="N80" s="93">
        <v>6833.45</v>
      </c>
      <c r="O80" s="72">
        <f t="shared" si="18"/>
        <v>82001.39999999998</v>
      </c>
      <c r="P80" s="91">
        <v>82001.39999999998</v>
      </c>
      <c r="Q80" s="91">
        <v>82001.399999999994</v>
      </c>
      <c r="R80" s="107">
        <v>41000.699999999997</v>
      </c>
      <c r="S80" s="8"/>
      <c r="T80" s="10"/>
      <c r="U80" s="10"/>
      <c r="V80" s="30"/>
      <c r="W80" s="75">
        <f t="shared" si="19"/>
        <v>287004.89999999997</v>
      </c>
      <c r="Y80" s="19">
        <v>500000</v>
      </c>
      <c r="Z80" s="44">
        <f t="shared" si="17"/>
        <v>212995.10000000003</v>
      </c>
    </row>
    <row r="81" spans="1:26" x14ac:dyDescent="0.25">
      <c r="A81" s="6">
        <v>8</v>
      </c>
      <c r="B81" s="45"/>
      <c r="C81" s="8">
        <v>4007.63</v>
      </c>
      <c r="D81" s="8">
        <v>4007.63</v>
      </c>
      <c r="E81" s="8">
        <v>4007.63</v>
      </c>
      <c r="F81" s="8">
        <v>4007.63</v>
      </c>
      <c r="G81" s="8">
        <v>4007.63</v>
      </c>
      <c r="H81" s="8">
        <v>4007.63</v>
      </c>
      <c r="I81" s="8">
        <v>4007.63</v>
      </c>
      <c r="J81" s="93">
        <v>4007.63</v>
      </c>
      <c r="K81" s="93">
        <v>4007.63</v>
      </c>
      <c r="L81" s="93">
        <v>4007.63</v>
      </c>
      <c r="M81" s="93">
        <v>4007.63</v>
      </c>
      <c r="N81" s="93">
        <v>4007.63</v>
      </c>
      <c r="O81" s="72">
        <f t="shared" si="18"/>
        <v>48091.56</v>
      </c>
      <c r="P81" s="91">
        <v>48091.56</v>
      </c>
      <c r="Q81" s="91">
        <v>48091.56</v>
      </c>
      <c r="R81" s="107">
        <v>32061.040000000001</v>
      </c>
      <c r="S81" s="8"/>
      <c r="T81" s="10"/>
      <c r="U81" s="10"/>
      <c r="V81" s="30"/>
      <c r="W81" s="75">
        <f t="shared" si="19"/>
        <v>176335.72</v>
      </c>
      <c r="Y81" s="19">
        <v>500000</v>
      </c>
      <c r="Z81" s="44">
        <f t="shared" si="17"/>
        <v>323664.28000000003</v>
      </c>
    </row>
    <row r="82" spans="1:26" x14ac:dyDescent="0.25">
      <c r="A82" s="6">
        <v>9</v>
      </c>
      <c r="B82" s="45"/>
      <c r="C82" s="8">
        <v>12146.31</v>
      </c>
      <c r="D82" s="8">
        <v>12146.31</v>
      </c>
      <c r="E82" s="8">
        <v>12146.31</v>
      </c>
      <c r="F82" s="8">
        <v>12146.31</v>
      </c>
      <c r="G82" s="8">
        <v>12146.31</v>
      </c>
      <c r="H82" s="8">
        <v>12146.31</v>
      </c>
      <c r="I82" s="8">
        <v>12146.31</v>
      </c>
      <c r="J82" s="93">
        <v>12146.31</v>
      </c>
      <c r="K82" s="93">
        <v>12146.31</v>
      </c>
      <c r="L82" s="93">
        <v>12146.31</v>
      </c>
      <c r="M82" s="93">
        <v>12146.31</v>
      </c>
      <c r="N82" s="93">
        <v>2001.29</v>
      </c>
      <c r="O82" s="72">
        <f t="shared" si="18"/>
        <v>135610.70000000001</v>
      </c>
      <c r="P82" s="91">
        <v>145755.72</v>
      </c>
      <c r="Q82" s="91">
        <v>145755.72</v>
      </c>
      <c r="R82" s="107">
        <v>72877.86</v>
      </c>
      <c r="S82" s="8"/>
      <c r="T82" s="10"/>
      <c r="U82" s="10"/>
      <c r="V82" s="30"/>
      <c r="W82" s="75">
        <f t="shared" si="19"/>
        <v>500000</v>
      </c>
      <c r="Y82" s="19">
        <v>500000</v>
      </c>
      <c r="Z82" s="44">
        <f t="shared" si="17"/>
        <v>0</v>
      </c>
    </row>
    <row r="83" spans="1:26" x14ac:dyDescent="0.25">
      <c r="A83" s="6">
        <v>10</v>
      </c>
      <c r="B83" s="45"/>
      <c r="C83" s="8">
        <v>9297.93</v>
      </c>
      <c r="D83" s="8">
        <v>9297.93</v>
      </c>
      <c r="E83" s="8">
        <v>9297.93</v>
      </c>
      <c r="F83" s="8">
        <v>9297.93</v>
      </c>
      <c r="G83" s="8">
        <v>9297.93</v>
      </c>
      <c r="H83" s="8">
        <v>9297.93</v>
      </c>
      <c r="I83" s="8">
        <v>9297.93</v>
      </c>
      <c r="J83" s="93">
        <v>9297.93</v>
      </c>
      <c r="K83" s="93">
        <v>9297.93</v>
      </c>
      <c r="L83" s="93">
        <v>9297.93</v>
      </c>
      <c r="M83" s="93">
        <v>9297.93</v>
      </c>
      <c r="N83" s="93">
        <v>9297.93</v>
      </c>
      <c r="O83" s="72">
        <f t="shared" si="18"/>
        <v>111575.15999999997</v>
      </c>
      <c r="P83" s="91">
        <v>111575.15999999997</v>
      </c>
      <c r="Q83" s="91">
        <v>111575.16</v>
      </c>
      <c r="R83" s="107">
        <v>65085.51</v>
      </c>
      <c r="S83" s="8"/>
      <c r="T83" s="10"/>
      <c r="U83" s="10"/>
      <c r="V83" s="30"/>
      <c r="W83" s="75">
        <f t="shared" si="19"/>
        <v>399810.98999999993</v>
      </c>
      <c r="Y83" s="19">
        <v>500000</v>
      </c>
      <c r="Z83" s="44">
        <f t="shared" si="17"/>
        <v>100189.01000000007</v>
      </c>
    </row>
    <row r="84" spans="1:26" x14ac:dyDescent="0.25">
      <c r="A84" s="6">
        <v>11</v>
      </c>
      <c r="B84" s="45"/>
      <c r="C84" s="8">
        <v>4688.47</v>
      </c>
      <c r="D84" s="8">
        <v>4688.47</v>
      </c>
      <c r="E84" s="8">
        <v>4688.47</v>
      </c>
      <c r="F84" s="8">
        <v>4688.47</v>
      </c>
      <c r="G84" s="8">
        <v>4688.47</v>
      </c>
      <c r="H84" s="8">
        <v>4688.47</v>
      </c>
      <c r="I84" s="8">
        <v>4688.47</v>
      </c>
      <c r="J84" s="93">
        <v>4688.47</v>
      </c>
      <c r="K84" s="93">
        <v>4688.47</v>
      </c>
      <c r="L84" s="93">
        <v>4688.47</v>
      </c>
      <c r="M84" s="93">
        <v>4688.47</v>
      </c>
      <c r="N84" s="93">
        <v>4688.47</v>
      </c>
      <c r="O84" s="72">
        <f t="shared" si="18"/>
        <v>56261.640000000007</v>
      </c>
      <c r="P84" s="91">
        <v>56261.640000000007</v>
      </c>
      <c r="Q84" s="91">
        <v>56261.64</v>
      </c>
      <c r="R84" s="107">
        <v>32819.29</v>
      </c>
      <c r="S84" s="8"/>
      <c r="T84" s="10"/>
      <c r="U84" s="10"/>
      <c r="V84" s="30"/>
      <c r="W84" s="75">
        <f t="shared" si="19"/>
        <v>201604.21000000002</v>
      </c>
      <c r="Y84" s="19">
        <v>500000</v>
      </c>
      <c r="Z84" s="44">
        <f t="shared" si="17"/>
        <v>298395.78999999998</v>
      </c>
    </row>
    <row r="85" spans="1:26" x14ac:dyDescent="0.25">
      <c r="A85" s="6">
        <v>12</v>
      </c>
      <c r="B85" s="45"/>
      <c r="C85" s="8">
        <v>5483.03</v>
      </c>
      <c r="D85" s="8">
        <v>5483.03</v>
      </c>
      <c r="E85" s="8">
        <v>5483.03</v>
      </c>
      <c r="F85" s="8">
        <v>5483.03</v>
      </c>
      <c r="G85" s="8">
        <v>5483.03</v>
      </c>
      <c r="H85" s="8">
        <v>5483.03</v>
      </c>
      <c r="I85" s="8">
        <v>5483.03</v>
      </c>
      <c r="J85" s="93">
        <v>5483.03</v>
      </c>
      <c r="K85" s="93">
        <v>5483.03</v>
      </c>
      <c r="L85" s="93">
        <v>5483.03</v>
      </c>
      <c r="M85" s="93">
        <v>5483.03</v>
      </c>
      <c r="N85" s="93">
        <v>5483.03</v>
      </c>
      <c r="O85" s="72">
        <f t="shared" si="18"/>
        <v>65796.36</v>
      </c>
      <c r="P85" s="91">
        <v>65796.36</v>
      </c>
      <c r="Q85" s="91">
        <v>65796.36</v>
      </c>
      <c r="R85" s="107">
        <v>32898.18</v>
      </c>
      <c r="S85" s="8"/>
      <c r="T85" s="10"/>
      <c r="U85" s="10"/>
      <c r="V85" s="30"/>
      <c r="W85" s="75">
        <f t="shared" si="19"/>
        <v>230287.26</v>
      </c>
      <c r="Y85" s="19">
        <v>500000</v>
      </c>
      <c r="Z85" s="44">
        <f t="shared" si="17"/>
        <v>269712.74</v>
      </c>
    </row>
    <row r="86" spans="1:26" x14ac:dyDescent="0.25">
      <c r="A86" s="6">
        <v>13</v>
      </c>
      <c r="B86" s="45"/>
      <c r="C86" s="8">
        <v>6080.65</v>
      </c>
      <c r="D86" s="8">
        <v>6080.65</v>
      </c>
      <c r="E86" s="8">
        <v>6080.65</v>
      </c>
      <c r="F86" s="8">
        <v>6080.65</v>
      </c>
      <c r="G86" s="8">
        <v>6080.65</v>
      </c>
      <c r="H86" s="8">
        <v>6080.65</v>
      </c>
      <c r="I86" s="8">
        <v>6080.65</v>
      </c>
      <c r="J86" s="93">
        <v>6080.65</v>
      </c>
      <c r="K86" s="93">
        <v>6080.65</v>
      </c>
      <c r="L86" s="93">
        <v>6080.65</v>
      </c>
      <c r="M86" s="93">
        <v>6080.65</v>
      </c>
      <c r="N86" s="93">
        <v>6080.65</v>
      </c>
      <c r="O86" s="72">
        <f t="shared" si="18"/>
        <v>72967.8</v>
      </c>
      <c r="P86" s="91">
        <v>72967.8</v>
      </c>
      <c r="Q86" s="91">
        <v>72967.8</v>
      </c>
      <c r="R86" s="107">
        <v>36483.9</v>
      </c>
      <c r="S86" s="8"/>
      <c r="T86" s="10"/>
      <c r="U86" s="10"/>
      <c r="V86" s="30"/>
      <c r="W86" s="75">
        <f t="shared" si="19"/>
        <v>255387.3</v>
      </c>
      <c r="Y86" s="19">
        <v>500000</v>
      </c>
      <c r="Z86" s="44">
        <f t="shared" si="17"/>
        <v>244612.7</v>
      </c>
    </row>
    <row r="87" spans="1:26" x14ac:dyDescent="0.25">
      <c r="A87" s="6">
        <v>14</v>
      </c>
      <c r="B87" s="45"/>
      <c r="C87" s="8">
        <v>6822.17</v>
      </c>
      <c r="D87" s="8">
        <v>6822.17</v>
      </c>
      <c r="E87" s="8">
        <v>6822.17</v>
      </c>
      <c r="F87" s="8">
        <v>6822.17</v>
      </c>
      <c r="G87" s="8">
        <v>6822.17</v>
      </c>
      <c r="H87" s="8">
        <v>6822.17</v>
      </c>
      <c r="I87" s="8">
        <v>6822.17</v>
      </c>
      <c r="J87" s="93">
        <v>6822.17</v>
      </c>
      <c r="K87" s="93">
        <v>6822.17</v>
      </c>
      <c r="L87" s="93">
        <v>6822.17</v>
      </c>
      <c r="M87" s="93">
        <v>6822.17</v>
      </c>
      <c r="N87" s="93">
        <v>6822.17</v>
      </c>
      <c r="O87" s="72">
        <f t="shared" si="18"/>
        <v>81866.039999999994</v>
      </c>
      <c r="P87" s="91">
        <v>81866.039999999994</v>
      </c>
      <c r="Q87" s="91">
        <v>81866.039999999994</v>
      </c>
      <c r="R87" s="107">
        <v>34110.85</v>
      </c>
      <c r="S87" s="8"/>
      <c r="T87" s="10"/>
      <c r="U87" s="10"/>
      <c r="V87" s="30"/>
      <c r="W87" s="75">
        <f t="shared" si="19"/>
        <v>279708.96999999997</v>
      </c>
      <c r="Y87" s="19">
        <v>500000</v>
      </c>
      <c r="Z87" s="44">
        <f t="shared" si="17"/>
        <v>220291.03000000003</v>
      </c>
    </row>
    <row r="88" spans="1:26" x14ac:dyDescent="0.25">
      <c r="A88" s="6">
        <v>15</v>
      </c>
      <c r="B88" s="45"/>
      <c r="C88" s="8">
        <v>6253.85</v>
      </c>
      <c r="D88" s="8">
        <v>6253.85</v>
      </c>
      <c r="E88" s="8">
        <v>6253.85</v>
      </c>
      <c r="F88" s="8">
        <v>6253.85</v>
      </c>
      <c r="G88" s="8">
        <v>6253.85</v>
      </c>
      <c r="H88" s="8">
        <v>6253.85</v>
      </c>
      <c r="I88" s="8">
        <v>6253.85</v>
      </c>
      <c r="J88" s="93">
        <v>6253.85</v>
      </c>
      <c r="K88" s="93">
        <v>6253.85</v>
      </c>
      <c r="L88" s="93">
        <v>6253.85</v>
      </c>
      <c r="M88" s="93">
        <v>6253.85</v>
      </c>
      <c r="N88" s="93">
        <v>6253.85</v>
      </c>
      <c r="O88" s="72">
        <f t="shared" si="18"/>
        <v>75046.2</v>
      </c>
      <c r="P88" s="91">
        <v>75046.2</v>
      </c>
      <c r="Q88" s="91">
        <v>75046.2</v>
      </c>
      <c r="R88" s="107">
        <v>31269.25</v>
      </c>
      <c r="S88" s="8"/>
      <c r="T88" s="10"/>
      <c r="U88" s="10"/>
      <c r="V88" s="30"/>
      <c r="W88" s="75">
        <f t="shared" si="19"/>
        <v>256407.84999999998</v>
      </c>
      <c r="Y88" s="19">
        <v>500000</v>
      </c>
      <c r="Z88" s="44">
        <f t="shared" si="17"/>
        <v>243592.15000000002</v>
      </c>
    </row>
    <row r="89" spans="1:26" x14ac:dyDescent="0.25">
      <c r="A89" s="6">
        <v>16</v>
      </c>
      <c r="B89" s="45"/>
      <c r="C89" s="8">
        <v>6203.99</v>
      </c>
      <c r="D89" s="8">
        <v>6203.99</v>
      </c>
      <c r="E89" s="8">
        <v>6203.99</v>
      </c>
      <c r="F89" s="8">
        <v>6203.99</v>
      </c>
      <c r="G89" s="8">
        <v>6203.99</v>
      </c>
      <c r="H89" s="8">
        <v>6203.99</v>
      </c>
      <c r="I89" s="8">
        <v>6203.99</v>
      </c>
      <c r="J89" s="93">
        <v>6203.99</v>
      </c>
      <c r="K89" s="93">
        <v>6203.99</v>
      </c>
      <c r="L89" s="93">
        <v>6203.99</v>
      </c>
      <c r="M89" s="93">
        <v>6203.99</v>
      </c>
      <c r="N89" s="93">
        <v>6203.99</v>
      </c>
      <c r="O89" s="72">
        <f t="shared" si="18"/>
        <v>74447.87999999999</v>
      </c>
      <c r="P89" s="91">
        <v>74447.87999999999</v>
      </c>
      <c r="Q89" s="91">
        <v>74447.88</v>
      </c>
      <c r="R89" s="107">
        <v>31019.95</v>
      </c>
      <c r="S89" s="8"/>
      <c r="T89" s="10"/>
      <c r="U89" s="10"/>
      <c r="V89" s="30"/>
      <c r="W89" s="75">
        <f t="shared" si="19"/>
        <v>254363.58999999997</v>
      </c>
      <c r="Y89" s="19">
        <v>500000</v>
      </c>
      <c r="Z89" s="44">
        <f t="shared" si="17"/>
        <v>245636.41000000003</v>
      </c>
    </row>
    <row r="90" spans="1:26" x14ac:dyDescent="0.25">
      <c r="A90" s="15"/>
      <c r="B90" s="16" t="s">
        <v>18</v>
      </c>
      <c r="C90" s="17">
        <f>SUM(C74:C89)</f>
        <v>110556.93</v>
      </c>
      <c r="D90" s="17">
        <f t="shared" ref="D90:U90" si="20">SUM(D74:D89)</f>
        <v>110556.93</v>
      </c>
      <c r="E90" s="17">
        <f t="shared" si="20"/>
        <v>110556.93</v>
      </c>
      <c r="F90" s="17">
        <f t="shared" si="20"/>
        <v>110556.93</v>
      </c>
      <c r="G90" s="17">
        <f t="shared" si="20"/>
        <v>110556.93</v>
      </c>
      <c r="H90" s="17">
        <f t="shared" si="20"/>
        <v>110556.93</v>
      </c>
      <c r="I90" s="17">
        <f t="shared" si="20"/>
        <v>110556.93</v>
      </c>
      <c r="J90" s="56">
        <f t="shared" si="20"/>
        <v>110556.93</v>
      </c>
      <c r="K90" s="17">
        <f t="shared" si="20"/>
        <v>110556.93</v>
      </c>
      <c r="L90" s="17">
        <f t="shared" si="20"/>
        <v>110556.93</v>
      </c>
      <c r="M90" s="17">
        <f t="shared" si="20"/>
        <v>110556.93</v>
      </c>
      <c r="N90" s="17">
        <f t="shared" si="20"/>
        <v>100411.90999999999</v>
      </c>
      <c r="O90" s="70">
        <f>SUM(O74:O89)</f>
        <v>1316538.1399999999</v>
      </c>
      <c r="P90" s="56">
        <f>SUM(P74:P89)</f>
        <v>1326683.1599999999</v>
      </c>
      <c r="Q90" s="17">
        <f t="shared" si="20"/>
        <v>1326683.1600000001</v>
      </c>
      <c r="R90" s="17">
        <f t="shared" si="20"/>
        <v>738531.46</v>
      </c>
      <c r="S90" s="17">
        <f t="shared" si="20"/>
        <v>0</v>
      </c>
      <c r="T90" s="56">
        <f t="shared" si="20"/>
        <v>0</v>
      </c>
      <c r="U90" s="56">
        <f t="shared" si="20"/>
        <v>0</v>
      </c>
      <c r="V90" s="30"/>
      <c r="W90" s="108">
        <f>SUM(W74:W89)</f>
        <v>4708435.919999999</v>
      </c>
      <c r="Y90" s="19">
        <v>500000</v>
      </c>
      <c r="Z90" s="44">
        <f t="shared" si="17"/>
        <v>-4208435.919999999</v>
      </c>
    </row>
    <row r="93" spans="1:26" x14ac:dyDescent="0.25">
      <c r="A93" s="659" t="s">
        <v>54</v>
      </c>
      <c r="B93" s="659"/>
      <c r="C93" s="659"/>
      <c r="D93" s="659"/>
      <c r="E93" s="659"/>
      <c r="F93" s="659"/>
      <c r="G93" s="659"/>
      <c r="H93" s="659"/>
      <c r="I93" s="659"/>
      <c r="J93" s="659"/>
      <c r="K93" s="659"/>
      <c r="L93" s="659"/>
      <c r="M93" s="659"/>
      <c r="N93" s="659"/>
      <c r="O93" s="89"/>
      <c r="P93" s="89"/>
      <c r="Q93" s="89"/>
      <c r="R93" s="23"/>
      <c r="S93" s="22"/>
      <c r="T93" s="76"/>
      <c r="U93" s="76"/>
      <c r="V93" s="39"/>
      <c r="W93" s="39"/>
    </row>
    <row r="94" spans="1:26" ht="24" x14ac:dyDescent="0.25">
      <c r="A94" s="2" t="s">
        <v>17</v>
      </c>
      <c r="B94" s="2" t="s">
        <v>16</v>
      </c>
      <c r="C94" s="2" t="s">
        <v>9</v>
      </c>
      <c r="D94" s="2" t="s">
        <v>10</v>
      </c>
      <c r="E94" s="2" t="s">
        <v>11</v>
      </c>
      <c r="F94" s="2" t="s">
        <v>12</v>
      </c>
      <c r="G94" s="2" t="s">
        <v>13</v>
      </c>
      <c r="H94" s="2" t="s">
        <v>14</v>
      </c>
      <c r="I94" s="2" t="s">
        <v>15</v>
      </c>
      <c r="J94" s="54" t="s">
        <v>24</v>
      </c>
      <c r="K94" s="2" t="s">
        <v>25</v>
      </c>
      <c r="L94" s="2" t="s">
        <v>26</v>
      </c>
      <c r="M94" s="2" t="s">
        <v>27</v>
      </c>
      <c r="N94" s="3" t="s">
        <v>28</v>
      </c>
      <c r="O94" s="62">
        <v>2021</v>
      </c>
      <c r="P94" s="85">
        <v>2020</v>
      </c>
      <c r="Q94" s="90">
        <v>2019</v>
      </c>
      <c r="R94" s="3">
        <v>2018</v>
      </c>
      <c r="S94" s="24"/>
      <c r="T94" s="79"/>
      <c r="U94" s="79"/>
      <c r="V94" s="82"/>
      <c r="W94" s="79"/>
    </row>
    <row r="95" spans="1:26" x14ac:dyDescent="0.25">
      <c r="A95" s="6">
        <v>1</v>
      </c>
      <c r="B95" s="46"/>
      <c r="C95" s="60">
        <v>8468.93</v>
      </c>
      <c r="D95" s="60">
        <v>8468.93</v>
      </c>
      <c r="E95" s="60">
        <v>8468.93</v>
      </c>
      <c r="F95" s="60">
        <v>8468.93</v>
      </c>
      <c r="G95" s="60">
        <v>8468.93</v>
      </c>
      <c r="H95" s="60">
        <v>8468.93</v>
      </c>
      <c r="I95" s="60">
        <v>8468.93</v>
      </c>
      <c r="J95" s="95">
        <v>8468.93</v>
      </c>
      <c r="K95" s="95">
        <v>8468.93</v>
      </c>
      <c r="L95" s="95">
        <v>8468.93</v>
      </c>
      <c r="M95" s="95">
        <v>8468.93</v>
      </c>
      <c r="N95" s="95">
        <v>8468.93</v>
      </c>
      <c r="O95" s="72">
        <f>SUM(C95:N95)</f>
        <v>101627.15999999997</v>
      </c>
      <c r="P95" s="91">
        <v>101627.15999999997</v>
      </c>
      <c r="Q95" s="91">
        <v>84689.3</v>
      </c>
      <c r="R95" s="107"/>
      <c r="S95" s="8"/>
      <c r="T95" s="10"/>
      <c r="U95" s="10"/>
      <c r="V95" s="30"/>
      <c r="W95" s="75">
        <f>O95+R95+S95+T95+U95+V95+Q95+P95</f>
        <v>287943.61999999994</v>
      </c>
    </row>
    <row r="96" spans="1:26" x14ac:dyDescent="0.25">
      <c r="A96" s="6">
        <v>2</v>
      </c>
      <c r="B96" s="46"/>
      <c r="C96" s="60">
        <v>4587.8999999999996</v>
      </c>
      <c r="D96" s="60">
        <v>4587.8999999999996</v>
      </c>
      <c r="E96" s="60">
        <v>4587.8999999999996</v>
      </c>
      <c r="F96" s="60">
        <v>4587.8999999999996</v>
      </c>
      <c r="G96" s="60">
        <v>4587.8999999999996</v>
      </c>
      <c r="H96" s="60">
        <v>4587.8999999999996</v>
      </c>
      <c r="I96" s="60">
        <v>4587.8999999999996</v>
      </c>
      <c r="J96" s="95">
        <v>4587.8999999999996</v>
      </c>
      <c r="K96" s="95">
        <v>4587.8999999999996</v>
      </c>
      <c r="L96" s="95">
        <v>4587.8999999999996</v>
      </c>
      <c r="M96" s="95">
        <v>4587.8999999999996</v>
      </c>
      <c r="N96" s="95">
        <v>4587.8999999999996</v>
      </c>
      <c r="O96" s="72">
        <f t="shared" ref="O96:O116" si="21">SUM(C96:N96)</f>
        <v>55054.80000000001</v>
      </c>
      <c r="P96" s="91">
        <v>55054.80000000001</v>
      </c>
      <c r="Q96" s="91">
        <v>55054.8</v>
      </c>
      <c r="R96" s="107">
        <v>4587.8999999999996</v>
      </c>
      <c r="S96" s="8"/>
      <c r="T96" s="10"/>
      <c r="U96" s="10"/>
      <c r="V96" s="30"/>
      <c r="W96" s="75">
        <f t="shared" ref="W96:W115" si="22">O96+R96+S96+T96+U96+V96+Q96+P96</f>
        <v>169752.30000000002</v>
      </c>
    </row>
    <row r="97" spans="1:23" x14ac:dyDescent="0.25">
      <c r="A97" s="6">
        <v>3</v>
      </c>
      <c r="B97" s="46"/>
      <c r="C97" s="60">
        <v>11068.69</v>
      </c>
      <c r="D97" s="60">
        <v>11068.69</v>
      </c>
      <c r="E97" s="60">
        <v>11068.69</v>
      </c>
      <c r="F97" s="60">
        <v>11068.69</v>
      </c>
      <c r="G97" s="60">
        <v>11068.69</v>
      </c>
      <c r="H97" s="60">
        <v>11068.69</v>
      </c>
      <c r="I97" s="60">
        <v>11068.69</v>
      </c>
      <c r="J97" s="95">
        <v>11068.69</v>
      </c>
      <c r="K97" s="95">
        <v>11068.69</v>
      </c>
      <c r="L97" s="95">
        <v>11068.69</v>
      </c>
      <c r="M97" s="95">
        <v>11068.69</v>
      </c>
      <c r="N97" s="95">
        <v>11068.69</v>
      </c>
      <c r="O97" s="72">
        <f t="shared" si="21"/>
        <v>132824.28</v>
      </c>
      <c r="P97" s="91">
        <v>132824.28</v>
      </c>
      <c r="Q97" s="91">
        <v>99618.21</v>
      </c>
      <c r="R97" s="107"/>
      <c r="S97" s="8"/>
      <c r="T97" s="10"/>
      <c r="U97" s="10"/>
      <c r="V97" s="30"/>
      <c r="W97" s="75">
        <f t="shared" si="22"/>
        <v>365266.77</v>
      </c>
    </row>
    <row r="98" spans="1:23" x14ac:dyDescent="0.25">
      <c r="A98" s="6">
        <v>4</v>
      </c>
      <c r="B98" s="46"/>
      <c r="C98" s="60">
        <v>8757.92</v>
      </c>
      <c r="D98" s="60">
        <v>8757.92</v>
      </c>
      <c r="E98" s="60">
        <v>8757.92</v>
      </c>
      <c r="F98" s="60">
        <v>8757.92</v>
      </c>
      <c r="G98" s="60">
        <v>8757.92</v>
      </c>
      <c r="H98" s="60">
        <v>8757.92</v>
      </c>
      <c r="I98" s="60">
        <v>8757.92</v>
      </c>
      <c r="J98" s="95">
        <v>8757.92</v>
      </c>
      <c r="K98" s="95">
        <v>8757.92</v>
      </c>
      <c r="L98" s="95">
        <v>8757.92</v>
      </c>
      <c r="M98" s="95">
        <v>8757.92</v>
      </c>
      <c r="N98" s="95">
        <v>8757.92</v>
      </c>
      <c r="O98" s="72">
        <f t="shared" si="21"/>
        <v>105095.03999999999</v>
      </c>
      <c r="P98" s="91">
        <v>105095.03999999999</v>
      </c>
      <c r="Q98" s="91">
        <v>52547.519999999997</v>
      </c>
      <c r="R98" s="107"/>
      <c r="S98" s="8"/>
      <c r="T98" s="10"/>
      <c r="U98" s="10"/>
      <c r="V98" s="30"/>
      <c r="W98" s="75">
        <f t="shared" si="22"/>
        <v>262737.59999999998</v>
      </c>
    </row>
    <row r="99" spans="1:23" x14ac:dyDescent="0.25">
      <c r="A99" s="6">
        <v>5</v>
      </c>
      <c r="B99" s="47"/>
      <c r="C99" s="60">
        <v>7026.31</v>
      </c>
      <c r="D99" s="60">
        <v>7026.31</v>
      </c>
      <c r="E99" s="60">
        <v>7026.31</v>
      </c>
      <c r="F99" s="60">
        <v>7026.31</v>
      </c>
      <c r="G99" s="60">
        <v>7026.31</v>
      </c>
      <c r="H99" s="60">
        <v>7026.31</v>
      </c>
      <c r="I99" s="60">
        <v>7026.31</v>
      </c>
      <c r="J99" s="95">
        <v>7026.31</v>
      </c>
      <c r="K99" s="95">
        <v>7026.31</v>
      </c>
      <c r="L99" s="95">
        <v>7026.31</v>
      </c>
      <c r="M99" s="95">
        <v>7026.31</v>
      </c>
      <c r="N99" s="95">
        <v>7026.31</v>
      </c>
      <c r="O99" s="72">
        <f t="shared" si="21"/>
        <v>84315.719999999987</v>
      </c>
      <c r="P99" s="91">
        <v>84315.719999999987</v>
      </c>
      <c r="Q99" s="91">
        <v>84315.72</v>
      </c>
      <c r="R99" s="107">
        <v>28105.24</v>
      </c>
      <c r="S99" s="8"/>
      <c r="T99" s="10"/>
      <c r="U99" s="10"/>
      <c r="V99" s="30"/>
      <c r="W99" s="75">
        <f t="shared" si="22"/>
        <v>281052.39999999997</v>
      </c>
    </row>
    <row r="100" spans="1:23" x14ac:dyDescent="0.25">
      <c r="A100" s="6">
        <v>6</v>
      </c>
      <c r="B100" s="46"/>
      <c r="C100" s="60">
        <v>10659.29</v>
      </c>
      <c r="D100" s="60">
        <v>10659.29</v>
      </c>
      <c r="E100" s="60">
        <v>10659.29</v>
      </c>
      <c r="F100" s="60">
        <v>10659.29</v>
      </c>
      <c r="G100" s="60">
        <v>10659.29</v>
      </c>
      <c r="H100" s="60">
        <v>10659.29</v>
      </c>
      <c r="I100" s="60">
        <v>10659.29</v>
      </c>
      <c r="J100" s="95">
        <v>10659.29</v>
      </c>
      <c r="K100" s="95">
        <v>10659.29</v>
      </c>
      <c r="L100" s="95">
        <v>10659.29</v>
      </c>
      <c r="M100" s="95">
        <v>10659.29</v>
      </c>
      <c r="N100" s="95">
        <v>10659.29</v>
      </c>
      <c r="O100" s="72">
        <f t="shared" si="21"/>
        <v>127911.48000000004</v>
      </c>
      <c r="P100" s="91">
        <v>127911.48000000004</v>
      </c>
      <c r="Q100" s="91">
        <v>63955.74</v>
      </c>
      <c r="R100" s="107"/>
      <c r="S100" s="8"/>
      <c r="T100" s="10"/>
      <c r="U100" s="10"/>
      <c r="V100" s="30"/>
      <c r="W100" s="75">
        <f t="shared" si="22"/>
        <v>319778.70000000007</v>
      </c>
    </row>
    <row r="101" spans="1:23" x14ac:dyDescent="0.25">
      <c r="A101" s="6">
        <v>7</v>
      </c>
      <c r="B101" s="7"/>
      <c r="C101" s="8">
        <v>8515.5</v>
      </c>
      <c r="D101" s="8">
        <v>8515.5</v>
      </c>
      <c r="E101" s="8">
        <v>8515.5</v>
      </c>
      <c r="F101" s="8">
        <v>8515.5</v>
      </c>
      <c r="G101" s="8">
        <v>8515.5</v>
      </c>
      <c r="H101" s="8">
        <v>8515.5</v>
      </c>
      <c r="I101" s="8">
        <v>8515.5</v>
      </c>
      <c r="J101" s="93">
        <v>8515.5</v>
      </c>
      <c r="K101" s="93">
        <v>8515.5</v>
      </c>
      <c r="L101" s="93">
        <v>8515.5</v>
      </c>
      <c r="M101" s="93">
        <v>8515.5</v>
      </c>
      <c r="N101" s="93">
        <v>8515.5</v>
      </c>
      <c r="O101" s="72">
        <f t="shared" si="21"/>
        <v>102186</v>
      </c>
      <c r="P101" s="91">
        <v>102186</v>
      </c>
      <c r="Q101" s="91">
        <v>102186</v>
      </c>
      <c r="R101" s="107"/>
      <c r="S101" s="8"/>
      <c r="T101" s="10"/>
      <c r="U101" s="10"/>
      <c r="V101" s="30"/>
      <c r="W101" s="75">
        <f t="shared" si="22"/>
        <v>306558</v>
      </c>
    </row>
    <row r="102" spans="1:23" x14ac:dyDescent="0.25">
      <c r="A102" s="6">
        <v>8</v>
      </c>
      <c r="B102" s="45"/>
      <c r="C102" s="8">
        <v>3965.86</v>
      </c>
      <c r="D102" s="8">
        <v>3965.86</v>
      </c>
      <c r="E102" s="8">
        <v>3965.86</v>
      </c>
      <c r="F102" s="8">
        <v>3965.86</v>
      </c>
      <c r="G102" s="8">
        <v>3965.86</v>
      </c>
      <c r="H102" s="8">
        <v>3965.86</v>
      </c>
      <c r="I102" s="8">
        <v>3965.86</v>
      </c>
      <c r="J102" s="93">
        <v>3965.86</v>
      </c>
      <c r="K102" s="93">
        <v>3965.86</v>
      </c>
      <c r="L102" s="93">
        <v>3965.86</v>
      </c>
      <c r="M102" s="93">
        <v>3965.86</v>
      </c>
      <c r="N102" s="93">
        <v>3965.86</v>
      </c>
      <c r="O102" s="72">
        <f t="shared" si="21"/>
        <v>47590.32</v>
      </c>
      <c r="P102" s="91">
        <v>47590.32</v>
      </c>
      <c r="Q102" s="91">
        <v>11897.58</v>
      </c>
      <c r="R102" s="107"/>
      <c r="S102" s="8"/>
      <c r="T102" s="10"/>
      <c r="U102" s="10"/>
      <c r="V102" s="30"/>
      <c r="W102" s="75">
        <f t="shared" si="22"/>
        <v>107078.22</v>
      </c>
    </row>
    <row r="103" spans="1:23" x14ac:dyDescent="0.25">
      <c r="A103" s="6">
        <v>9</v>
      </c>
      <c r="B103" s="45"/>
      <c r="C103" s="8">
        <v>4534.26</v>
      </c>
      <c r="D103" s="8">
        <v>4534.26</v>
      </c>
      <c r="E103" s="8">
        <v>4534.26</v>
      </c>
      <c r="F103" s="8">
        <v>4534.26</v>
      </c>
      <c r="G103" s="8">
        <v>4534.26</v>
      </c>
      <c r="H103" s="8">
        <v>4534.26</v>
      </c>
      <c r="I103" s="8">
        <v>4534.26</v>
      </c>
      <c r="J103" s="93">
        <v>4534.26</v>
      </c>
      <c r="K103" s="93">
        <v>4534.26</v>
      </c>
      <c r="L103" s="93">
        <v>4534.26</v>
      </c>
      <c r="M103" s="93">
        <v>4534.26</v>
      </c>
      <c r="N103" s="93">
        <v>4534.26</v>
      </c>
      <c r="O103" s="72">
        <f t="shared" ref="O103" si="23">SUM(C103:N103)</f>
        <v>54411.120000000017</v>
      </c>
      <c r="P103" s="91">
        <v>54411.120000000017</v>
      </c>
      <c r="Q103" s="91">
        <v>54411.12</v>
      </c>
      <c r="R103" s="107">
        <v>13602.78</v>
      </c>
      <c r="S103" s="8"/>
      <c r="T103" s="10"/>
      <c r="U103" s="10"/>
      <c r="V103" s="30"/>
      <c r="W103" s="75">
        <f t="shared" si="22"/>
        <v>176836.14000000004</v>
      </c>
    </row>
    <row r="104" spans="1:23" x14ac:dyDescent="0.25">
      <c r="A104" s="6">
        <v>10</v>
      </c>
      <c r="B104" s="45"/>
      <c r="C104" s="10">
        <v>6706.13</v>
      </c>
      <c r="D104" s="10">
        <v>6706.13</v>
      </c>
      <c r="E104" s="10">
        <v>6706.13</v>
      </c>
      <c r="F104" s="10">
        <v>6706.13</v>
      </c>
      <c r="G104" s="10">
        <v>6706.13</v>
      </c>
      <c r="H104" s="10">
        <v>6706.13</v>
      </c>
      <c r="I104" s="10">
        <v>6706.13</v>
      </c>
      <c r="J104" s="93">
        <v>6706.13</v>
      </c>
      <c r="K104" s="93">
        <v>6706.13</v>
      </c>
      <c r="L104" s="93">
        <v>6706.13</v>
      </c>
      <c r="M104" s="93">
        <v>6706.13</v>
      </c>
      <c r="N104" s="93">
        <v>6706.13</v>
      </c>
      <c r="O104" s="72">
        <f t="shared" si="21"/>
        <v>80473.56</v>
      </c>
      <c r="P104" s="91">
        <v>80473.56</v>
      </c>
      <c r="Q104" s="91">
        <v>33530.65</v>
      </c>
      <c r="R104" s="107"/>
      <c r="S104" s="8"/>
      <c r="T104" s="10"/>
      <c r="U104" s="10"/>
      <c r="V104" s="30"/>
      <c r="W104" s="75">
        <f t="shared" si="22"/>
        <v>194477.77</v>
      </c>
    </row>
    <row r="105" spans="1:23" x14ac:dyDescent="0.25">
      <c r="A105" s="6">
        <v>11</v>
      </c>
      <c r="B105" s="45"/>
      <c r="C105" s="8">
        <v>7081.4</v>
      </c>
      <c r="D105" s="8">
        <v>7081.4</v>
      </c>
      <c r="E105" s="8">
        <v>7081.4</v>
      </c>
      <c r="F105" s="8">
        <v>7081.4</v>
      </c>
      <c r="G105" s="8">
        <v>7081.4</v>
      </c>
      <c r="H105" s="8">
        <v>7081.4</v>
      </c>
      <c r="I105" s="8">
        <v>7081.4</v>
      </c>
      <c r="J105" s="93">
        <v>7081.4</v>
      </c>
      <c r="K105" s="93">
        <v>7081.4</v>
      </c>
      <c r="L105" s="93">
        <v>7081.4</v>
      </c>
      <c r="M105" s="93">
        <v>7081.4</v>
      </c>
      <c r="N105" s="93">
        <v>7081.4</v>
      </c>
      <c r="O105" s="72">
        <f t="shared" ref="O105:O106" si="24">SUM(C105:N105)</f>
        <v>84976.799999999988</v>
      </c>
      <c r="P105" s="91">
        <v>84976.799999999988</v>
      </c>
      <c r="Q105" s="91">
        <v>84976.8</v>
      </c>
      <c r="R105" s="107">
        <v>21244.2</v>
      </c>
      <c r="S105" s="8"/>
      <c r="T105" s="10"/>
      <c r="U105" s="10"/>
      <c r="V105" s="30"/>
      <c r="W105" s="75">
        <f t="shared" si="22"/>
        <v>276174.59999999998</v>
      </c>
    </row>
    <row r="106" spans="1:23" x14ac:dyDescent="0.25">
      <c r="A106" s="6">
        <v>12</v>
      </c>
      <c r="B106" s="45"/>
      <c r="C106" s="8">
        <v>9175.48</v>
      </c>
      <c r="D106" s="8">
        <v>9175.48</v>
      </c>
      <c r="E106" s="8">
        <v>9175.48</v>
      </c>
      <c r="F106" s="8">
        <v>9175.48</v>
      </c>
      <c r="G106" s="8">
        <v>9175.48</v>
      </c>
      <c r="H106" s="8">
        <v>9175.48</v>
      </c>
      <c r="I106" s="8">
        <v>9175.48</v>
      </c>
      <c r="J106" s="93">
        <v>9175.48</v>
      </c>
      <c r="K106" s="93">
        <v>9175.48</v>
      </c>
      <c r="L106" s="93">
        <v>9175.48</v>
      </c>
      <c r="M106" s="93">
        <v>9175.48</v>
      </c>
      <c r="N106" s="93">
        <v>9175.48</v>
      </c>
      <c r="O106" s="72">
        <f t="shared" si="24"/>
        <v>110105.75999999997</v>
      </c>
      <c r="P106" s="91">
        <v>110105.75999999997</v>
      </c>
      <c r="Q106" s="91">
        <v>110105.76</v>
      </c>
      <c r="R106" s="107">
        <v>9175.48</v>
      </c>
      <c r="S106" s="8"/>
      <c r="T106" s="10"/>
      <c r="U106" s="10"/>
      <c r="V106" s="30"/>
      <c r="W106" s="75">
        <f t="shared" si="22"/>
        <v>339492.75999999989</v>
      </c>
    </row>
    <row r="107" spans="1:23" x14ac:dyDescent="0.25">
      <c r="A107" s="6">
        <v>13</v>
      </c>
      <c r="B107" s="45"/>
      <c r="C107" s="10">
        <v>10630.63</v>
      </c>
      <c r="D107" s="10">
        <v>10630.63</v>
      </c>
      <c r="E107" s="10">
        <v>10630.63</v>
      </c>
      <c r="F107" s="10">
        <v>10630.63</v>
      </c>
      <c r="G107" s="10">
        <v>10630.63</v>
      </c>
      <c r="H107" s="10">
        <v>10630.63</v>
      </c>
      <c r="I107" s="10">
        <v>10630.63</v>
      </c>
      <c r="J107" s="93">
        <v>10630.63</v>
      </c>
      <c r="K107" s="93">
        <v>10630.63</v>
      </c>
      <c r="L107" s="93">
        <v>10630.63</v>
      </c>
      <c r="M107" s="93">
        <v>10630.63</v>
      </c>
      <c r="N107" s="93">
        <v>10630.63</v>
      </c>
      <c r="O107" s="72">
        <f t="shared" si="21"/>
        <v>127567.56000000001</v>
      </c>
      <c r="P107" s="91">
        <v>127567.56000000001</v>
      </c>
      <c r="Q107" s="91">
        <v>31891.89</v>
      </c>
      <c r="R107" s="107"/>
      <c r="S107" s="8"/>
      <c r="T107" s="10"/>
      <c r="U107" s="10"/>
      <c r="V107" s="30"/>
      <c r="W107" s="75">
        <f t="shared" si="22"/>
        <v>287027.01</v>
      </c>
    </row>
    <row r="108" spans="1:23" x14ac:dyDescent="0.25">
      <c r="A108" s="6">
        <v>14</v>
      </c>
      <c r="B108" s="45"/>
      <c r="C108" s="8">
        <v>4303.22</v>
      </c>
      <c r="D108" s="8">
        <v>4303.22</v>
      </c>
      <c r="E108" s="8">
        <v>4303.22</v>
      </c>
      <c r="F108" s="8">
        <v>4303.22</v>
      </c>
      <c r="G108" s="8">
        <v>4303.22</v>
      </c>
      <c r="H108" s="8">
        <v>4303.22</v>
      </c>
      <c r="I108" s="8">
        <v>4303.22</v>
      </c>
      <c r="J108" s="93">
        <v>4303.22</v>
      </c>
      <c r="K108" s="93">
        <v>4303.22</v>
      </c>
      <c r="L108" s="93">
        <v>4303.22</v>
      </c>
      <c r="M108" s="93">
        <v>4303.22</v>
      </c>
      <c r="N108" s="93">
        <v>4303.22</v>
      </c>
      <c r="O108" s="72">
        <f t="shared" si="21"/>
        <v>51638.640000000007</v>
      </c>
      <c r="P108" s="91">
        <v>51638.640000000007</v>
      </c>
      <c r="Q108" s="91">
        <v>8606.44</v>
      </c>
      <c r="R108" s="107"/>
      <c r="S108" s="8"/>
      <c r="T108" s="10"/>
      <c r="U108" s="10"/>
      <c r="V108" s="30"/>
      <c r="W108" s="75">
        <f t="shared" si="22"/>
        <v>111883.72000000002</v>
      </c>
    </row>
    <row r="109" spans="1:23" x14ac:dyDescent="0.25">
      <c r="A109" s="6">
        <v>15</v>
      </c>
      <c r="B109" s="45"/>
      <c r="C109" s="8">
        <v>3371.48</v>
      </c>
      <c r="D109" s="8">
        <v>3371.48</v>
      </c>
      <c r="E109" s="8">
        <v>3371.48</v>
      </c>
      <c r="F109" s="8">
        <v>3371.48</v>
      </c>
      <c r="G109" s="8">
        <v>3371.48</v>
      </c>
      <c r="H109" s="8">
        <v>3371.48</v>
      </c>
      <c r="I109" s="8">
        <v>3371.48</v>
      </c>
      <c r="J109" s="93">
        <v>3371.48</v>
      </c>
      <c r="K109" s="93">
        <v>3371.48</v>
      </c>
      <c r="L109" s="93">
        <v>3371.48</v>
      </c>
      <c r="M109" s="93">
        <v>3371.48</v>
      </c>
      <c r="N109" s="93">
        <v>3371.48</v>
      </c>
      <c r="O109" s="72">
        <f t="shared" si="21"/>
        <v>40457.760000000009</v>
      </c>
      <c r="P109" s="91">
        <v>40457.760000000009</v>
      </c>
      <c r="Q109" s="91">
        <v>3371.48</v>
      </c>
      <c r="R109" s="107"/>
      <c r="S109" s="8"/>
      <c r="T109" s="10"/>
      <c r="U109" s="10"/>
      <c r="V109" s="30"/>
      <c r="W109" s="75">
        <f t="shared" si="22"/>
        <v>84287.000000000029</v>
      </c>
    </row>
    <row r="110" spans="1:23" x14ac:dyDescent="0.25">
      <c r="A110" s="6">
        <v>16</v>
      </c>
      <c r="B110" s="45"/>
      <c r="C110" s="8">
        <v>6127.45</v>
      </c>
      <c r="D110" s="8">
        <v>6127.45</v>
      </c>
      <c r="E110" s="8">
        <v>6127.45</v>
      </c>
      <c r="F110" s="8">
        <v>6127.45</v>
      </c>
      <c r="G110" s="8">
        <v>6127.45</v>
      </c>
      <c r="H110" s="8">
        <v>6127.45</v>
      </c>
      <c r="I110" s="8">
        <v>6127.45</v>
      </c>
      <c r="J110" s="93">
        <v>6127.45</v>
      </c>
      <c r="K110" s="93">
        <v>6127.45</v>
      </c>
      <c r="L110" s="93">
        <v>6127.45</v>
      </c>
      <c r="M110" s="93">
        <v>6127.45</v>
      </c>
      <c r="N110" s="93">
        <v>6127.45</v>
      </c>
      <c r="O110" s="72">
        <f t="shared" si="21"/>
        <v>73529.39999999998</v>
      </c>
      <c r="P110" s="91">
        <v>73529.39999999998</v>
      </c>
      <c r="Q110" s="91">
        <v>6127.45</v>
      </c>
      <c r="R110" s="107"/>
      <c r="S110" s="8"/>
      <c r="T110" s="10"/>
      <c r="U110" s="10"/>
      <c r="V110" s="30"/>
      <c r="W110" s="75">
        <f t="shared" si="22"/>
        <v>153186.24999999994</v>
      </c>
    </row>
    <row r="111" spans="1:23" x14ac:dyDescent="0.25">
      <c r="A111" s="6">
        <v>17</v>
      </c>
      <c r="B111" s="45"/>
      <c r="C111" s="8">
        <v>5817.2</v>
      </c>
      <c r="D111" s="8">
        <v>5817.2</v>
      </c>
      <c r="E111" s="8">
        <v>5817.2</v>
      </c>
      <c r="F111" s="8">
        <v>5817.2</v>
      </c>
      <c r="G111" s="8">
        <v>5817.2</v>
      </c>
      <c r="H111" s="8">
        <v>5817.2</v>
      </c>
      <c r="I111" s="8">
        <v>5817.2</v>
      </c>
      <c r="J111" s="93">
        <v>5817.2</v>
      </c>
      <c r="K111" s="93">
        <v>5817.2</v>
      </c>
      <c r="L111" s="93">
        <v>5817.2</v>
      </c>
      <c r="M111" s="93">
        <v>5817.2</v>
      </c>
      <c r="N111" s="93">
        <v>5817.2</v>
      </c>
      <c r="O111" s="72">
        <f t="shared" si="21"/>
        <v>69806.39999999998</v>
      </c>
      <c r="P111" s="91">
        <v>69806.39999999998</v>
      </c>
      <c r="Q111" s="91">
        <v>11634.4</v>
      </c>
      <c r="R111" s="107"/>
      <c r="S111" s="8"/>
      <c r="T111" s="10"/>
      <c r="U111" s="10"/>
      <c r="V111" s="30"/>
      <c r="W111" s="75">
        <f t="shared" si="22"/>
        <v>151247.19999999995</v>
      </c>
    </row>
    <row r="112" spans="1:23" x14ac:dyDescent="0.25">
      <c r="A112" s="6">
        <v>18</v>
      </c>
      <c r="B112" s="45"/>
      <c r="C112" s="8">
        <v>8784.57</v>
      </c>
      <c r="D112" s="8">
        <v>8784.57</v>
      </c>
      <c r="E112" s="8">
        <v>8784.57</v>
      </c>
      <c r="F112" s="8">
        <v>8784.57</v>
      </c>
      <c r="G112" s="8">
        <v>8784.57</v>
      </c>
      <c r="H112" s="8">
        <v>8784.57</v>
      </c>
      <c r="I112" s="8">
        <v>8784.57</v>
      </c>
      <c r="J112" s="93">
        <v>8784.57</v>
      </c>
      <c r="K112" s="93">
        <v>8784.57</v>
      </c>
      <c r="L112" s="93">
        <v>8784.57</v>
      </c>
      <c r="M112" s="93">
        <v>8784.57</v>
      </c>
      <c r="N112" s="93">
        <v>8784.57</v>
      </c>
      <c r="O112" s="72">
        <f t="shared" si="21"/>
        <v>105414.84000000003</v>
      </c>
      <c r="P112" s="91">
        <v>105414.84000000003</v>
      </c>
      <c r="Q112" s="91">
        <v>8784.57</v>
      </c>
      <c r="R112" s="107"/>
      <c r="S112" s="8"/>
      <c r="T112" s="10"/>
      <c r="U112" s="10"/>
      <c r="V112" s="30"/>
      <c r="W112" s="75">
        <f t="shared" si="22"/>
        <v>219614.25000000006</v>
      </c>
    </row>
    <row r="113" spans="1:28" x14ac:dyDescent="0.25">
      <c r="A113" s="6">
        <v>19</v>
      </c>
      <c r="B113" s="45"/>
      <c r="C113" s="8">
        <v>8251.26</v>
      </c>
      <c r="D113" s="8">
        <v>8251.26</v>
      </c>
      <c r="E113" s="8">
        <v>8251.26</v>
      </c>
      <c r="F113" s="8">
        <v>8251.26</v>
      </c>
      <c r="G113" s="8">
        <v>8251.26</v>
      </c>
      <c r="H113" s="8">
        <v>8251.26</v>
      </c>
      <c r="I113" s="8">
        <v>8251.26</v>
      </c>
      <c r="J113" s="93">
        <v>8251.26</v>
      </c>
      <c r="K113" s="93">
        <v>8251.26</v>
      </c>
      <c r="L113" s="93">
        <v>8251.26</v>
      </c>
      <c r="M113" s="93">
        <v>8251.26</v>
      </c>
      <c r="N113" s="93">
        <v>8251.26</v>
      </c>
      <c r="O113" s="72">
        <f t="shared" si="21"/>
        <v>99015.119999999981</v>
      </c>
      <c r="P113" s="91">
        <v>99015.119999999981</v>
      </c>
      <c r="Q113" s="91">
        <v>0</v>
      </c>
      <c r="R113" s="107"/>
      <c r="S113" s="8"/>
      <c r="T113" s="10"/>
      <c r="U113" s="10"/>
      <c r="V113" s="30"/>
      <c r="W113" s="75">
        <f t="shared" si="22"/>
        <v>198030.23999999996</v>
      </c>
    </row>
    <row r="114" spans="1:28" x14ac:dyDescent="0.25">
      <c r="A114" s="6">
        <v>20</v>
      </c>
      <c r="B114" s="45"/>
      <c r="C114" s="60">
        <v>9703.25</v>
      </c>
      <c r="D114" s="60">
        <v>9703.25</v>
      </c>
      <c r="E114" s="60">
        <v>9703.25</v>
      </c>
      <c r="F114" s="60">
        <v>9703.25</v>
      </c>
      <c r="G114" s="60">
        <v>9703.25</v>
      </c>
      <c r="H114" s="60">
        <v>9703.25</v>
      </c>
      <c r="I114" s="60">
        <v>9703.25</v>
      </c>
      <c r="J114" s="95">
        <v>9703.25</v>
      </c>
      <c r="K114" s="95">
        <v>9703.25</v>
      </c>
      <c r="L114" s="95">
        <v>9703.25</v>
      </c>
      <c r="M114" s="95">
        <v>9703.25</v>
      </c>
      <c r="N114" s="95">
        <v>9703.25</v>
      </c>
      <c r="O114" s="72">
        <f t="shared" si="21"/>
        <v>116439</v>
      </c>
      <c r="P114" s="91">
        <v>116439</v>
      </c>
      <c r="Q114" s="91">
        <v>9703.25</v>
      </c>
      <c r="R114" s="107"/>
      <c r="S114" s="8"/>
      <c r="T114" s="10"/>
      <c r="U114" s="10"/>
      <c r="V114" s="30"/>
      <c r="W114" s="75">
        <f t="shared" si="22"/>
        <v>242581.25</v>
      </c>
    </row>
    <row r="115" spans="1:28" x14ac:dyDescent="0.25">
      <c r="A115" s="6">
        <v>21</v>
      </c>
      <c r="B115" s="45"/>
      <c r="C115" s="60">
        <v>8308.89</v>
      </c>
      <c r="D115" s="60">
        <v>8308.89</v>
      </c>
      <c r="E115" s="60">
        <v>8308.89</v>
      </c>
      <c r="F115" s="60">
        <v>8308.89</v>
      </c>
      <c r="G115" s="60">
        <v>8308.89</v>
      </c>
      <c r="H115" s="60">
        <v>8308.89</v>
      </c>
      <c r="I115" s="60">
        <v>8308.89</v>
      </c>
      <c r="J115" s="95">
        <v>8308.89</v>
      </c>
      <c r="K115" s="95">
        <v>8308.89</v>
      </c>
      <c r="L115" s="95">
        <v>8308.89</v>
      </c>
      <c r="M115" s="95">
        <v>8308.89</v>
      </c>
      <c r="N115" s="95">
        <v>8308.89</v>
      </c>
      <c r="O115" s="72">
        <f t="shared" si="21"/>
        <v>99706.68</v>
      </c>
      <c r="P115" s="91">
        <v>99706.68</v>
      </c>
      <c r="Q115" s="91">
        <v>16617.78</v>
      </c>
      <c r="R115" s="107"/>
      <c r="S115" s="8"/>
      <c r="T115" s="10"/>
      <c r="U115" s="10"/>
      <c r="V115" s="30"/>
      <c r="W115" s="75">
        <f t="shared" si="22"/>
        <v>216031.13999999998</v>
      </c>
    </row>
    <row r="116" spans="1:28" x14ac:dyDescent="0.25">
      <c r="A116" s="15"/>
      <c r="B116" s="16" t="s">
        <v>18</v>
      </c>
      <c r="C116" s="17">
        <f>SUM(C95:C115)</f>
        <v>155845.62</v>
      </c>
      <c r="D116" s="17">
        <f t="shared" ref="D116:N116" si="25">SUM(D95:D115)</f>
        <v>155845.62</v>
      </c>
      <c r="E116" s="17">
        <f t="shared" si="25"/>
        <v>155845.62</v>
      </c>
      <c r="F116" s="17">
        <f t="shared" si="25"/>
        <v>155845.62</v>
      </c>
      <c r="G116" s="17">
        <f t="shared" si="25"/>
        <v>155845.62</v>
      </c>
      <c r="H116" s="17">
        <f t="shared" si="25"/>
        <v>155845.62</v>
      </c>
      <c r="I116" s="17">
        <f t="shared" si="25"/>
        <v>155845.62</v>
      </c>
      <c r="J116" s="17">
        <f t="shared" si="25"/>
        <v>155845.62</v>
      </c>
      <c r="K116" s="17">
        <f t="shared" si="25"/>
        <v>155845.62</v>
      </c>
      <c r="L116" s="17">
        <f t="shared" si="25"/>
        <v>155845.62</v>
      </c>
      <c r="M116" s="17">
        <f t="shared" si="25"/>
        <v>155845.62</v>
      </c>
      <c r="N116" s="17">
        <f t="shared" si="25"/>
        <v>155845.62</v>
      </c>
      <c r="O116" s="72">
        <f t="shared" si="21"/>
        <v>1870147.4400000004</v>
      </c>
      <c r="P116" s="91">
        <f>SUM(P95:P115)</f>
        <v>1870147.4399999997</v>
      </c>
      <c r="Q116" s="17">
        <f>SUM(Q95:Q115)</f>
        <v>934026.46</v>
      </c>
      <c r="R116" s="17">
        <f t="shared" ref="R116:U116" si="26">SUM(R95:R115)</f>
        <v>76715.599999999991</v>
      </c>
      <c r="S116" s="17">
        <f t="shared" si="26"/>
        <v>0</v>
      </c>
      <c r="T116" s="17">
        <f t="shared" si="26"/>
        <v>0</v>
      </c>
      <c r="U116" s="17">
        <f t="shared" si="26"/>
        <v>0</v>
      </c>
      <c r="V116" s="30"/>
      <c r="W116" s="108">
        <f>SUM(W95:W115)</f>
        <v>4751036.9400000004</v>
      </c>
    </row>
    <row r="117" spans="1:28" x14ac:dyDescent="0.25">
      <c r="A117" s="101"/>
      <c r="B117" s="102"/>
      <c r="C117" s="103"/>
      <c r="D117" s="103"/>
      <c r="E117" s="103"/>
      <c r="F117" s="103"/>
      <c r="G117" s="103"/>
      <c r="H117" s="103"/>
      <c r="I117" s="103"/>
      <c r="J117" s="104"/>
      <c r="K117" s="103"/>
      <c r="L117" s="43" t="s">
        <v>53</v>
      </c>
      <c r="O117" s="59">
        <f>O26+O42+O69+O90+O116</f>
        <v>3988636.4400000004</v>
      </c>
      <c r="P117" s="59"/>
      <c r="Q117" s="103"/>
      <c r="R117" s="103"/>
      <c r="S117" s="103"/>
      <c r="T117" s="104"/>
      <c r="U117" s="104"/>
      <c r="V117" s="76"/>
      <c r="W117" s="21"/>
    </row>
    <row r="118" spans="1:28" x14ac:dyDescent="0.25">
      <c r="A118" s="101"/>
      <c r="B118" s="102"/>
      <c r="C118" s="103"/>
      <c r="D118" s="103"/>
      <c r="E118" s="103"/>
      <c r="F118" s="103"/>
      <c r="G118" s="103"/>
      <c r="H118" s="103"/>
      <c r="I118" s="103"/>
      <c r="J118" s="104"/>
      <c r="K118" s="103"/>
      <c r="L118" s="103"/>
      <c r="M118" s="103"/>
      <c r="N118" s="103"/>
      <c r="O118" s="104"/>
      <c r="P118" s="104"/>
      <c r="Q118" s="103"/>
      <c r="R118" s="103"/>
      <c r="S118" s="103"/>
      <c r="T118" s="104"/>
      <c r="U118" s="104"/>
      <c r="V118" s="76"/>
      <c r="W118" s="21"/>
    </row>
    <row r="119" spans="1:28" x14ac:dyDescent="0.25">
      <c r="A119" s="659" t="s">
        <v>55</v>
      </c>
      <c r="B119" s="659"/>
      <c r="C119" s="659"/>
      <c r="D119" s="659"/>
      <c r="E119" s="659"/>
      <c r="F119" s="659"/>
      <c r="G119" s="659"/>
      <c r="H119" s="659"/>
      <c r="I119" s="659"/>
      <c r="J119" s="659"/>
      <c r="K119" s="659"/>
      <c r="L119" s="659"/>
      <c r="M119" s="659"/>
      <c r="N119" s="659"/>
      <c r="O119" s="89"/>
      <c r="P119" s="89"/>
      <c r="Q119" s="89"/>
      <c r="R119" s="23"/>
      <c r="S119" s="22"/>
      <c r="T119" s="76"/>
      <c r="U119" s="76"/>
      <c r="V119" s="39"/>
      <c r="W119" s="39"/>
    </row>
    <row r="120" spans="1:28" ht="24" x14ac:dyDescent="0.25">
      <c r="A120" s="2" t="s">
        <v>17</v>
      </c>
      <c r="B120" s="2" t="s">
        <v>16</v>
      </c>
      <c r="C120" s="2" t="s">
        <v>9</v>
      </c>
      <c r="D120" s="2" t="s">
        <v>10</v>
      </c>
      <c r="E120" s="2" t="s">
        <v>11</v>
      </c>
      <c r="F120" s="2" t="s">
        <v>12</v>
      </c>
      <c r="G120" s="2" t="s">
        <v>13</v>
      </c>
      <c r="H120" s="2" t="s">
        <v>14</v>
      </c>
      <c r="I120" s="2" t="s">
        <v>15</v>
      </c>
      <c r="J120" s="54" t="s">
        <v>24</v>
      </c>
      <c r="K120" s="2" t="s">
        <v>25</v>
      </c>
      <c r="L120" s="2" t="s">
        <v>26</v>
      </c>
      <c r="M120" s="2" t="s">
        <v>27</v>
      </c>
      <c r="N120" s="3" t="s">
        <v>28</v>
      </c>
      <c r="O120" s="62">
        <v>2021</v>
      </c>
      <c r="P120" s="85">
        <v>2020</v>
      </c>
      <c r="Q120" s="90"/>
      <c r="R120" s="3"/>
      <c r="S120" s="24"/>
      <c r="T120" s="79"/>
      <c r="U120" s="79"/>
      <c r="V120" s="82"/>
      <c r="W120" s="79"/>
    </row>
    <row r="121" spans="1:28" x14ac:dyDescent="0.25">
      <c r="A121" s="6">
        <v>1</v>
      </c>
      <c r="B121" s="46"/>
      <c r="C121" s="60">
        <v>4771.72</v>
      </c>
      <c r="D121" s="60">
        <v>4771.72</v>
      </c>
      <c r="E121" s="60">
        <v>4771.72</v>
      </c>
      <c r="F121" s="60">
        <v>4771.72</v>
      </c>
      <c r="G121" s="60">
        <v>4771.72</v>
      </c>
      <c r="H121" s="60">
        <v>4771.72</v>
      </c>
      <c r="I121" s="60">
        <v>4771.72</v>
      </c>
      <c r="J121" s="95">
        <v>4771.72</v>
      </c>
      <c r="K121" s="95">
        <v>4771.72</v>
      </c>
      <c r="L121" s="95">
        <v>4771.72</v>
      </c>
      <c r="M121" s="95">
        <v>4771.72</v>
      </c>
      <c r="N121" s="95">
        <v>4771.72</v>
      </c>
      <c r="O121" s="72">
        <f>SUM(C121:N121)</f>
        <v>57260.640000000007</v>
      </c>
      <c r="P121" s="91">
        <v>52488.920000000006</v>
      </c>
      <c r="Q121" s="91"/>
      <c r="R121" s="107"/>
      <c r="S121" s="8"/>
      <c r="T121" s="10"/>
      <c r="U121" s="10"/>
      <c r="V121" s="30"/>
      <c r="W121" s="75">
        <f>O121+R121+S121+T121+U121+V121+Q121+P121</f>
        <v>109749.56000000001</v>
      </c>
    </row>
    <row r="122" spans="1:28" x14ac:dyDescent="0.25">
      <c r="A122" s="6">
        <v>2</v>
      </c>
      <c r="B122" s="46"/>
      <c r="C122" s="60">
        <v>5826.27</v>
      </c>
      <c r="D122" s="60">
        <v>5826.27</v>
      </c>
      <c r="E122" s="60">
        <v>5826.27</v>
      </c>
      <c r="F122" s="60">
        <v>5826.27</v>
      </c>
      <c r="G122" s="60">
        <v>5826.27</v>
      </c>
      <c r="H122" s="60">
        <v>5826.27</v>
      </c>
      <c r="I122" s="60">
        <v>5826.27</v>
      </c>
      <c r="J122" s="95">
        <v>5826.27</v>
      </c>
      <c r="K122" s="95">
        <v>5826.27</v>
      </c>
      <c r="L122" s="95">
        <v>5826.27</v>
      </c>
      <c r="M122" s="95">
        <v>5826.27</v>
      </c>
      <c r="N122" s="95">
        <v>5826.27</v>
      </c>
      <c r="O122" s="72">
        <f t="shared" ref="O122:O128" si="27">SUM(C122:N122)</f>
        <v>69915.24000000002</v>
      </c>
      <c r="P122" s="91">
        <v>64088.970000000016</v>
      </c>
      <c r="Q122" s="91"/>
      <c r="R122" s="114"/>
      <c r="S122" s="8"/>
      <c r="T122" s="10"/>
      <c r="U122" s="10"/>
      <c r="V122" s="30"/>
      <c r="W122" s="75">
        <f t="shared" ref="W122:W139" si="28">O122+R122+S122+T122+U122+V122+Q122+P122</f>
        <v>134004.21000000002</v>
      </c>
    </row>
    <row r="123" spans="1:28" x14ac:dyDescent="0.25">
      <c r="A123" s="6">
        <v>3</v>
      </c>
      <c r="B123" s="45"/>
      <c r="C123" s="60">
        <v>2110.13</v>
      </c>
      <c r="D123" s="60">
        <v>2110.13</v>
      </c>
      <c r="E123" s="60">
        <v>2110.13</v>
      </c>
      <c r="F123" s="60">
        <v>2110.13</v>
      </c>
      <c r="G123" s="60">
        <v>2110.13</v>
      </c>
      <c r="H123" s="60">
        <v>2110.13</v>
      </c>
      <c r="I123" s="60">
        <v>2110.13</v>
      </c>
      <c r="J123" s="95">
        <v>2110.13</v>
      </c>
      <c r="K123" s="95">
        <v>2110.13</v>
      </c>
      <c r="L123" s="95">
        <v>2110.13</v>
      </c>
      <c r="M123" s="95">
        <v>2110.13</v>
      </c>
      <c r="N123" s="95">
        <v>2110.13</v>
      </c>
      <c r="O123" s="72">
        <f t="shared" si="27"/>
        <v>25321.560000000009</v>
      </c>
      <c r="P123" s="91">
        <v>10550.65</v>
      </c>
      <c r="Q123" s="91"/>
      <c r="R123" s="114"/>
      <c r="S123" s="8"/>
      <c r="T123" s="10"/>
      <c r="U123" s="10"/>
      <c r="V123" s="30"/>
      <c r="W123" s="75">
        <f t="shared" si="28"/>
        <v>35872.210000000006</v>
      </c>
    </row>
    <row r="124" spans="1:28" x14ac:dyDescent="0.25">
      <c r="A124" s="6">
        <v>4</v>
      </c>
      <c r="B124" s="46"/>
      <c r="C124" s="60">
        <v>5858.74</v>
      </c>
      <c r="D124" s="60">
        <v>5858.74</v>
      </c>
      <c r="E124" s="60">
        <v>5858.74</v>
      </c>
      <c r="F124" s="60">
        <v>5858.74</v>
      </c>
      <c r="G124" s="60">
        <v>5858.74</v>
      </c>
      <c r="H124" s="60">
        <v>5858.74</v>
      </c>
      <c r="I124" s="60">
        <v>5858.74</v>
      </c>
      <c r="J124" s="95">
        <v>5858.74</v>
      </c>
      <c r="K124" s="95">
        <v>5858.74</v>
      </c>
      <c r="L124" s="95">
        <v>5858.74</v>
      </c>
      <c r="M124" s="95">
        <v>5858.74</v>
      </c>
      <c r="N124" s="95">
        <v>5858.74</v>
      </c>
      <c r="O124" s="72">
        <f t="shared" si="27"/>
        <v>70304.87999999999</v>
      </c>
      <c r="P124" s="91">
        <v>23434.959999999999</v>
      </c>
      <c r="Q124" s="91"/>
      <c r="R124" s="114"/>
      <c r="S124" s="8"/>
      <c r="T124" s="10"/>
      <c r="U124" s="10"/>
      <c r="V124" s="30"/>
      <c r="W124" s="75">
        <f t="shared" si="28"/>
        <v>93739.839999999997</v>
      </c>
    </row>
    <row r="125" spans="1:28" x14ac:dyDescent="0.25">
      <c r="A125" s="6">
        <v>5</v>
      </c>
      <c r="B125" s="47"/>
      <c r="C125" s="60">
        <v>7368.2</v>
      </c>
      <c r="D125" s="60">
        <v>7368.2</v>
      </c>
      <c r="E125" s="60">
        <v>7368.2</v>
      </c>
      <c r="F125" s="60">
        <v>7368.2</v>
      </c>
      <c r="G125" s="60">
        <v>7368.2</v>
      </c>
      <c r="H125" s="60">
        <v>7368.2</v>
      </c>
      <c r="I125" s="60">
        <v>7368.2</v>
      </c>
      <c r="J125" s="95">
        <v>7368.2</v>
      </c>
      <c r="K125" s="95">
        <v>7368.2</v>
      </c>
      <c r="L125" s="95">
        <v>7368.2</v>
      </c>
      <c r="M125" s="95">
        <v>7368.2</v>
      </c>
      <c r="N125" s="95">
        <v>7368.2</v>
      </c>
      <c r="O125" s="72">
        <f t="shared" si="27"/>
        <v>88418.39999999998</v>
      </c>
      <c r="P125" s="91">
        <v>22104.6</v>
      </c>
      <c r="Q125" s="91"/>
      <c r="R125" s="114"/>
      <c r="S125" s="8"/>
      <c r="T125" s="10"/>
      <c r="U125" s="10"/>
      <c r="V125" s="30"/>
      <c r="W125" s="75">
        <f t="shared" si="28"/>
        <v>110522.99999999997</v>
      </c>
    </row>
    <row r="126" spans="1:28" x14ac:dyDescent="0.25">
      <c r="A126" s="6">
        <v>6</v>
      </c>
      <c r="B126" s="46"/>
      <c r="C126" s="60">
        <v>4535.6499999999996</v>
      </c>
      <c r="D126" s="60">
        <v>4535.6499999999996</v>
      </c>
      <c r="E126" s="60">
        <v>4535.6499999999996</v>
      </c>
      <c r="F126" s="60">
        <v>4535.6499999999996</v>
      </c>
      <c r="G126" s="60">
        <v>4535.6499999999996</v>
      </c>
      <c r="H126" s="60">
        <v>4535.6499999999996</v>
      </c>
      <c r="I126" s="60">
        <v>4535.6499999999996</v>
      </c>
      <c r="J126" s="95">
        <v>4535.6499999999996</v>
      </c>
      <c r="K126" s="95">
        <v>4535.6499999999996</v>
      </c>
      <c r="L126" s="95">
        <v>4535.6499999999996</v>
      </c>
      <c r="M126" s="95">
        <v>4535.6499999999996</v>
      </c>
      <c r="N126" s="95">
        <v>4535.6499999999996</v>
      </c>
      <c r="O126" s="72">
        <f t="shared" si="27"/>
        <v>54427.80000000001</v>
      </c>
      <c r="P126" s="91">
        <v>13606.95</v>
      </c>
      <c r="Q126" s="91"/>
      <c r="R126" s="114"/>
      <c r="S126" s="8"/>
      <c r="T126" s="10"/>
      <c r="U126" s="10"/>
      <c r="V126" s="30"/>
      <c r="W126" s="75">
        <f>O126+R126+S126+T126+U126+V126+Q126+P126</f>
        <v>68034.750000000015</v>
      </c>
    </row>
    <row r="127" spans="1:28" x14ac:dyDescent="0.25">
      <c r="A127" s="6">
        <v>7</v>
      </c>
      <c r="B127" s="7"/>
      <c r="C127" s="8">
        <v>4748.84</v>
      </c>
      <c r="D127" s="8">
        <v>4748.84</v>
      </c>
      <c r="E127" s="8">
        <v>4748.84</v>
      </c>
      <c r="F127" s="8">
        <v>4748.84</v>
      </c>
      <c r="G127" s="8">
        <v>4748.84</v>
      </c>
      <c r="H127" s="8">
        <v>4748.84</v>
      </c>
      <c r="I127" s="8">
        <v>4748.84</v>
      </c>
      <c r="J127" s="93">
        <v>4748.84</v>
      </c>
      <c r="K127" s="93">
        <v>4748.84</v>
      </c>
      <c r="L127" s="93">
        <v>4748.84</v>
      </c>
      <c r="M127" s="93">
        <v>4748.84</v>
      </c>
      <c r="N127" s="93">
        <v>4748.84</v>
      </c>
      <c r="O127" s="72">
        <f t="shared" si="27"/>
        <v>56986.079999999987</v>
      </c>
      <c r="P127" s="91">
        <v>14246.52</v>
      </c>
      <c r="Q127" s="91"/>
      <c r="R127" s="114"/>
      <c r="S127" s="91"/>
      <c r="T127" s="91"/>
      <c r="U127" s="91"/>
      <c r="V127" s="113"/>
      <c r="W127" s="75">
        <f t="shared" si="28"/>
        <v>71232.599999999991</v>
      </c>
      <c r="AB127" s="112"/>
    </row>
    <row r="128" spans="1:28" x14ac:dyDescent="0.25">
      <c r="A128" s="6">
        <v>8</v>
      </c>
      <c r="B128" s="45"/>
      <c r="C128" s="8">
        <v>6826.74</v>
      </c>
      <c r="D128" s="8">
        <v>6826.74</v>
      </c>
      <c r="E128" s="8">
        <v>6826.74</v>
      </c>
      <c r="F128" s="8">
        <v>6826.74</v>
      </c>
      <c r="G128" s="8">
        <v>6826.74</v>
      </c>
      <c r="H128" s="8">
        <v>6826.74</v>
      </c>
      <c r="I128" s="8">
        <v>6826.74</v>
      </c>
      <c r="J128" s="93">
        <v>6826.74</v>
      </c>
      <c r="K128" s="93">
        <v>6826.74</v>
      </c>
      <c r="L128" s="93">
        <v>6826.74</v>
      </c>
      <c r="M128" s="93">
        <v>6826.74</v>
      </c>
      <c r="N128" s="93">
        <v>6826.74</v>
      </c>
      <c r="O128" s="72">
        <f t="shared" si="27"/>
        <v>81920.88</v>
      </c>
      <c r="P128" s="91">
        <v>81920.88</v>
      </c>
      <c r="Q128" s="91"/>
      <c r="R128" s="114"/>
      <c r="S128" s="8"/>
      <c r="T128" s="10"/>
      <c r="U128" s="10"/>
      <c r="V128" s="30"/>
      <c r="W128" s="75">
        <f t="shared" si="28"/>
        <v>163841.76</v>
      </c>
    </row>
    <row r="129" spans="1:28" x14ac:dyDescent="0.25">
      <c r="A129" s="6">
        <v>9</v>
      </c>
      <c r="B129" s="45"/>
      <c r="C129" s="8">
        <v>8277.7999999999993</v>
      </c>
      <c r="D129" s="8">
        <v>8277.7999999999993</v>
      </c>
      <c r="E129" s="8">
        <v>8277.7999999999993</v>
      </c>
      <c r="F129" s="8">
        <v>8277.7999999999993</v>
      </c>
      <c r="G129" s="8">
        <v>8277.7999999999993</v>
      </c>
      <c r="H129" s="8">
        <v>8277.7999999999993</v>
      </c>
      <c r="I129" s="8">
        <v>8277.7999999999993</v>
      </c>
      <c r="J129" s="93">
        <v>8277.7999999999993</v>
      </c>
      <c r="K129" s="93">
        <v>8277.7999999999993</v>
      </c>
      <c r="L129" s="93">
        <v>8277.7999999999993</v>
      </c>
      <c r="M129" s="93">
        <v>8277.7999999999993</v>
      </c>
      <c r="N129" s="93">
        <v>8277.7999999999993</v>
      </c>
      <c r="O129" s="72">
        <f t="shared" ref="O129:O140" si="29">SUM(C129:N129)</f>
        <v>99333.60000000002</v>
      </c>
      <c r="P129" s="91">
        <v>33111.199999999997</v>
      </c>
      <c r="Q129" s="91"/>
      <c r="R129" s="114"/>
      <c r="S129" s="8"/>
      <c r="T129" s="10"/>
      <c r="U129" s="10"/>
      <c r="V129" s="30"/>
      <c r="W129" s="75">
        <f t="shared" si="28"/>
        <v>132444.80000000002</v>
      </c>
    </row>
    <row r="130" spans="1:28" x14ac:dyDescent="0.25">
      <c r="A130" s="6">
        <v>10</v>
      </c>
      <c r="B130" s="45"/>
      <c r="C130" s="10">
        <v>6006.57</v>
      </c>
      <c r="D130" s="10">
        <v>6006.57</v>
      </c>
      <c r="E130" s="10">
        <v>6006.57</v>
      </c>
      <c r="F130" s="10">
        <v>6006.57</v>
      </c>
      <c r="G130" s="10">
        <v>6006.57</v>
      </c>
      <c r="H130" s="10">
        <v>6006.57</v>
      </c>
      <c r="I130" s="10">
        <v>6006.57</v>
      </c>
      <c r="J130" s="93">
        <v>6006.57</v>
      </c>
      <c r="K130" s="93">
        <v>6006.57</v>
      </c>
      <c r="L130" s="93">
        <v>6006.57</v>
      </c>
      <c r="M130" s="93">
        <v>6006.57</v>
      </c>
      <c r="N130" s="93">
        <v>6006.57</v>
      </c>
      <c r="O130" s="72">
        <f t="shared" si="29"/>
        <v>72078.84</v>
      </c>
      <c r="P130" s="91">
        <v>6006.57</v>
      </c>
      <c r="Q130" s="91"/>
      <c r="R130" s="114"/>
      <c r="S130" s="8"/>
      <c r="T130" s="10"/>
      <c r="U130" s="10"/>
      <c r="V130" s="30"/>
      <c r="W130" s="75">
        <f t="shared" si="28"/>
        <v>78085.41</v>
      </c>
    </row>
    <row r="131" spans="1:28" x14ac:dyDescent="0.25">
      <c r="A131" s="6">
        <v>11</v>
      </c>
      <c r="B131" s="45"/>
      <c r="C131" s="8">
        <v>5149.37</v>
      </c>
      <c r="D131" s="8">
        <v>5149.37</v>
      </c>
      <c r="E131" s="8">
        <v>5149.37</v>
      </c>
      <c r="F131" s="8">
        <v>5149.37</v>
      </c>
      <c r="G131" s="8">
        <v>5149.37</v>
      </c>
      <c r="H131" s="8">
        <v>5149.37</v>
      </c>
      <c r="I131" s="8">
        <v>5149.37</v>
      </c>
      <c r="J131" s="93">
        <v>5149.37</v>
      </c>
      <c r="K131" s="93">
        <v>5149.37</v>
      </c>
      <c r="L131" s="93">
        <v>5149.37</v>
      </c>
      <c r="M131" s="93">
        <v>5149.37</v>
      </c>
      <c r="N131" s="93">
        <v>5149.37</v>
      </c>
      <c r="O131" s="72">
        <f t="shared" si="29"/>
        <v>61792.44000000001</v>
      </c>
      <c r="P131" s="91">
        <v>20597.48</v>
      </c>
      <c r="Q131" s="91"/>
      <c r="R131" s="114"/>
      <c r="S131" s="8"/>
      <c r="T131" s="10"/>
      <c r="U131" s="10"/>
      <c r="V131" s="30"/>
      <c r="W131" s="75">
        <f t="shared" si="28"/>
        <v>82389.920000000013</v>
      </c>
    </row>
    <row r="132" spans="1:28" x14ac:dyDescent="0.25">
      <c r="A132" s="6">
        <v>12</v>
      </c>
      <c r="B132" s="45"/>
      <c r="C132" s="8">
        <v>8534.66</v>
      </c>
      <c r="D132" s="8">
        <v>8534.66</v>
      </c>
      <c r="E132" s="8">
        <v>8534.66</v>
      </c>
      <c r="F132" s="8">
        <v>8534.66</v>
      </c>
      <c r="G132" s="8">
        <v>8534.66</v>
      </c>
      <c r="H132" s="8">
        <v>8534.66</v>
      </c>
      <c r="I132" s="8">
        <v>8534.66</v>
      </c>
      <c r="J132" s="93">
        <v>8534.66</v>
      </c>
      <c r="K132" s="93">
        <v>8534.66</v>
      </c>
      <c r="L132" s="93">
        <v>8534.66</v>
      </c>
      <c r="M132" s="93">
        <v>8534.66</v>
      </c>
      <c r="N132" s="93">
        <v>8534.66</v>
      </c>
      <c r="O132" s="72">
        <f t="shared" si="29"/>
        <v>102415.92000000003</v>
      </c>
      <c r="P132" s="91"/>
      <c r="Q132" s="91"/>
      <c r="R132" s="107"/>
      <c r="S132" s="8"/>
      <c r="T132" s="10"/>
      <c r="U132" s="10"/>
      <c r="V132" s="30"/>
      <c r="W132" s="75">
        <f t="shared" si="28"/>
        <v>102415.92000000003</v>
      </c>
    </row>
    <row r="133" spans="1:28" x14ac:dyDescent="0.25">
      <c r="A133" s="6">
        <v>13</v>
      </c>
      <c r="B133" s="45"/>
      <c r="C133" s="10">
        <v>3718.02</v>
      </c>
      <c r="D133" s="10">
        <v>3718.02</v>
      </c>
      <c r="E133" s="10">
        <v>3718.02</v>
      </c>
      <c r="F133" s="10">
        <v>3718.02</v>
      </c>
      <c r="G133" s="10">
        <v>3718.02</v>
      </c>
      <c r="H133" s="10">
        <v>3718.02</v>
      </c>
      <c r="I133" s="10">
        <v>3718.02</v>
      </c>
      <c r="J133" s="93">
        <v>3718.02</v>
      </c>
      <c r="K133" s="93">
        <v>3718.02</v>
      </c>
      <c r="L133" s="93">
        <v>3718.02</v>
      </c>
      <c r="M133" s="93">
        <v>3718.02</v>
      </c>
      <c r="N133" s="93">
        <v>3718.02</v>
      </c>
      <c r="O133" s="72">
        <f t="shared" si="29"/>
        <v>44616.239999999991</v>
      </c>
      <c r="P133" s="91"/>
      <c r="Q133" s="91"/>
      <c r="R133" s="107"/>
      <c r="S133" s="8"/>
      <c r="T133" s="10"/>
      <c r="U133" s="10"/>
      <c r="V133" s="30"/>
      <c r="W133" s="75">
        <f t="shared" si="28"/>
        <v>44616.239999999991</v>
      </c>
    </row>
    <row r="134" spans="1:28" x14ac:dyDescent="0.25">
      <c r="A134" s="6">
        <v>14</v>
      </c>
      <c r="B134" s="45"/>
      <c r="C134" s="8">
        <v>6560.2</v>
      </c>
      <c r="D134" s="8">
        <v>6560.2</v>
      </c>
      <c r="E134" s="8">
        <v>6560.2</v>
      </c>
      <c r="F134" s="8">
        <v>6560.2</v>
      </c>
      <c r="G134" s="8">
        <v>6560.2</v>
      </c>
      <c r="H134" s="8">
        <v>6560.2</v>
      </c>
      <c r="I134" s="8">
        <v>6560.2</v>
      </c>
      <c r="J134" s="93">
        <v>6560.2</v>
      </c>
      <c r="K134" s="93">
        <v>6560.2</v>
      </c>
      <c r="L134" s="93">
        <v>6560.2</v>
      </c>
      <c r="M134" s="93">
        <v>6560.2</v>
      </c>
      <c r="N134" s="93">
        <v>6560.2</v>
      </c>
      <c r="O134" s="72">
        <f t="shared" si="29"/>
        <v>78722.39999999998</v>
      </c>
      <c r="P134" s="91"/>
      <c r="Q134" s="91"/>
      <c r="R134" s="107"/>
      <c r="S134" s="8"/>
      <c r="T134" s="10"/>
      <c r="U134" s="10"/>
      <c r="V134" s="30"/>
      <c r="W134" s="75">
        <f t="shared" si="28"/>
        <v>78722.39999999998</v>
      </c>
    </row>
    <row r="135" spans="1:28" x14ac:dyDescent="0.25">
      <c r="A135" s="6">
        <v>15</v>
      </c>
      <c r="B135" s="45"/>
      <c r="C135" s="8">
        <v>6962.73</v>
      </c>
      <c r="D135" s="8">
        <v>6962.73</v>
      </c>
      <c r="E135" s="8">
        <v>6962.73</v>
      </c>
      <c r="F135" s="8">
        <v>6962.73</v>
      </c>
      <c r="G135" s="8">
        <v>6962.73</v>
      </c>
      <c r="H135" s="8">
        <v>6962.73</v>
      </c>
      <c r="I135" s="8">
        <v>6962.73</v>
      </c>
      <c r="J135" s="93">
        <v>6962.73</v>
      </c>
      <c r="K135" s="93">
        <v>6962.73</v>
      </c>
      <c r="L135" s="93">
        <v>6962.73</v>
      </c>
      <c r="M135" s="93">
        <v>6962.73</v>
      </c>
      <c r="N135" s="93">
        <v>6962.73</v>
      </c>
      <c r="O135" s="72">
        <f>SUM(C135:N135)</f>
        <v>83552.759999999966</v>
      </c>
      <c r="P135" s="91">
        <v>20888.189999999999</v>
      </c>
      <c r="Q135" s="91"/>
      <c r="R135" s="107"/>
      <c r="S135" s="8"/>
      <c r="T135" s="10"/>
      <c r="U135" s="10"/>
      <c r="V135" s="30"/>
      <c r="W135" s="75">
        <f t="shared" si="28"/>
        <v>104440.94999999997</v>
      </c>
    </row>
    <row r="136" spans="1:28" x14ac:dyDescent="0.25">
      <c r="A136" s="6">
        <v>16</v>
      </c>
      <c r="B136" s="45"/>
      <c r="C136" s="8"/>
      <c r="D136" s="8"/>
      <c r="E136" s="8"/>
      <c r="F136" s="8"/>
      <c r="G136" s="8"/>
      <c r="H136" s="8"/>
      <c r="I136" s="8"/>
      <c r="J136" s="93"/>
      <c r="K136" s="93"/>
      <c r="L136" s="93"/>
      <c r="M136" s="93"/>
      <c r="N136" s="93"/>
      <c r="O136" s="72">
        <f t="shared" si="29"/>
        <v>0</v>
      </c>
      <c r="P136" s="91"/>
      <c r="Q136" s="91"/>
      <c r="R136" s="107"/>
      <c r="S136" s="8"/>
      <c r="T136" s="10"/>
      <c r="U136" s="10"/>
      <c r="V136" s="30"/>
      <c r="W136" s="75">
        <f t="shared" si="28"/>
        <v>0</v>
      </c>
    </row>
    <row r="137" spans="1:28" x14ac:dyDescent="0.25">
      <c r="A137" s="6">
        <v>17</v>
      </c>
      <c r="B137" s="45"/>
      <c r="C137" s="8"/>
      <c r="D137" s="8"/>
      <c r="E137" s="8"/>
      <c r="F137" s="8"/>
      <c r="G137" s="8"/>
      <c r="H137" s="8"/>
      <c r="I137" s="8"/>
      <c r="J137" s="93"/>
      <c r="K137" s="93"/>
      <c r="L137" s="93"/>
      <c r="M137" s="93"/>
      <c r="N137" s="93"/>
      <c r="O137" s="72">
        <f t="shared" si="29"/>
        <v>0</v>
      </c>
      <c r="P137" s="91"/>
      <c r="Q137" s="91"/>
      <c r="R137" s="107"/>
      <c r="S137" s="8"/>
      <c r="T137" s="10"/>
      <c r="U137" s="10"/>
      <c r="V137" s="30"/>
      <c r="W137" s="75">
        <f t="shared" si="28"/>
        <v>0</v>
      </c>
    </row>
    <row r="138" spans="1:28" x14ac:dyDescent="0.25">
      <c r="A138" s="6">
        <v>18</v>
      </c>
      <c r="B138" s="45"/>
      <c r="C138" s="8"/>
      <c r="D138" s="8"/>
      <c r="E138" s="8"/>
      <c r="F138" s="8"/>
      <c r="G138" s="8"/>
      <c r="H138" s="8"/>
      <c r="I138" s="8"/>
      <c r="J138" s="93"/>
      <c r="K138" s="93"/>
      <c r="L138" s="93"/>
      <c r="M138" s="93"/>
      <c r="N138" s="93"/>
      <c r="O138" s="72">
        <f t="shared" si="29"/>
        <v>0</v>
      </c>
      <c r="P138" s="91"/>
      <c r="Q138" s="91"/>
      <c r="R138" s="107"/>
      <c r="S138" s="8"/>
      <c r="T138" s="10"/>
      <c r="U138" s="10"/>
      <c r="V138" s="30"/>
      <c r="W138" s="75">
        <f t="shared" si="28"/>
        <v>0</v>
      </c>
    </row>
    <row r="139" spans="1:28" x14ac:dyDescent="0.25">
      <c r="A139" s="6">
        <v>19</v>
      </c>
      <c r="B139" s="45"/>
      <c r="C139" s="8"/>
      <c r="D139" s="8"/>
      <c r="E139" s="8"/>
      <c r="F139" s="8"/>
      <c r="G139" s="8"/>
      <c r="H139" s="8"/>
      <c r="I139" s="8"/>
      <c r="J139" s="93"/>
      <c r="K139" s="93"/>
      <c r="L139" s="93"/>
      <c r="M139" s="93"/>
      <c r="N139" s="93"/>
      <c r="O139" s="72">
        <f t="shared" si="29"/>
        <v>0</v>
      </c>
      <c r="P139" s="91"/>
      <c r="Q139" s="91"/>
      <c r="R139" s="107"/>
      <c r="S139" s="8"/>
      <c r="T139" s="10"/>
      <c r="U139" s="10"/>
      <c r="V139" s="30"/>
      <c r="W139" s="75">
        <f t="shared" si="28"/>
        <v>0</v>
      </c>
    </row>
    <row r="140" spans="1:28" x14ac:dyDescent="0.25">
      <c r="A140" s="15"/>
      <c r="B140" s="16" t="s">
        <v>18</v>
      </c>
      <c r="C140" s="17">
        <f>SUM(C121:C139)</f>
        <v>87255.64</v>
      </c>
      <c r="D140" s="17">
        <f t="shared" ref="D140:N140" si="30">SUM(D121:D139)</f>
        <v>87255.64</v>
      </c>
      <c r="E140" s="17">
        <f t="shared" si="30"/>
        <v>87255.64</v>
      </c>
      <c r="F140" s="17">
        <f t="shared" si="30"/>
        <v>87255.64</v>
      </c>
      <c r="G140" s="17">
        <f t="shared" si="30"/>
        <v>87255.64</v>
      </c>
      <c r="H140" s="17">
        <f t="shared" si="30"/>
        <v>87255.64</v>
      </c>
      <c r="I140" s="17">
        <f t="shared" si="30"/>
        <v>87255.64</v>
      </c>
      <c r="J140" s="17">
        <f t="shared" si="30"/>
        <v>87255.64</v>
      </c>
      <c r="K140" s="17">
        <f t="shared" si="30"/>
        <v>87255.64</v>
      </c>
      <c r="L140" s="17">
        <f t="shared" si="30"/>
        <v>87255.64</v>
      </c>
      <c r="M140" s="17">
        <f t="shared" si="30"/>
        <v>87255.64</v>
      </c>
      <c r="N140" s="17">
        <f t="shared" si="30"/>
        <v>87255.64</v>
      </c>
      <c r="O140" s="72">
        <f t="shared" si="29"/>
        <v>1047067.68</v>
      </c>
      <c r="P140" s="91"/>
      <c r="Q140" s="17">
        <f t="shared" ref="Q140:U140" si="31">SUM(Q121:Q139)</f>
        <v>0</v>
      </c>
      <c r="R140" s="17">
        <f t="shared" si="31"/>
        <v>0</v>
      </c>
      <c r="S140" s="17">
        <f t="shared" si="31"/>
        <v>0</v>
      </c>
      <c r="T140" s="17">
        <f t="shared" si="31"/>
        <v>0</v>
      </c>
      <c r="U140" s="17">
        <f t="shared" si="31"/>
        <v>0</v>
      </c>
      <c r="V140" s="30"/>
      <c r="W140" s="108">
        <f>SUM(W121:W136)</f>
        <v>1410113.5699999998</v>
      </c>
    </row>
    <row r="141" spans="1:28" x14ac:dyDescent="0.25">
      <c r="A141" s="101"/>
      <c r="B141" s="102"/>
      <c r="C141" s="103"/>
      <c r="D141" s="103"/>
      <c r="E141" s="103"/>
      <c r="F141" s="103"/>
      <c r="G141" s="103"/>
      <c r="H141" s="103"/>
      <c r="I141" s="103"/>
      <c r="J141" s="104"/>
      <c r="K141" s="103"/>
      <c r="L141" s="103"/>
      <c r="M141" s="103"/>
      <c r="N141" s="103"/>
      <c r="O141" s="104">
        <f>O26+O42+O69+O90+O116+O140</f>
        <v>5035704.12</v>
      </c>
      <c r="P141" s="104"/>
      <c r="Q141" s="103"/>
      <c r="R141" s="103"/>
      <c r="S141" s="103"/>
      <c r="T141" s="104"/>
      <c r="U141" s="104"/>
      <c r="V141" s="76"/>
      <c r="W141" s="21"/>
    </row>
    <row r="142" spans="1:28" s="1" customFormat="1" x14ac:dyDescent="0.25">
      <c r="A142" s="101"/>
      <c r="B142" s="102"/>
      <c r="C142" s="103"/>
      <c r="D142" s="103"/>
      <c r="E142" s="103"/>
      <c r="F142" s="103"/>
      <c r="G142" s="103"/>
      <c r="H142" s="103"/>
      <c r="I142" s="103"/>
      <c r="J142" s="104"/>
      <c r="K142" s="103"/>
      <c r="L142" s="103"/>
      <c r="M142" s="103"/>
      <c r="N142" s="103"/>
      <c r="O142" s="104"/>
      <c r="P142" s="104"/>
      <c r="Q142" s="103"/>
      <c r="R142" s="103"/>
      <c r="S142" s="103"/>
      <c r="T142" s="104"/>
      <c r="U142" s="104"/>
      <c r="V142" s="76"/>
      <c r="W142" s="21"/>
      <c r="Y142" s="19"/>
      <c r="Z142" s="19"/>
      <c r="AA142"/>
      <c r="AB142"/>
    </row>
    <row r="143" spans="1:28" s="1" customFormat="1" ht="15.75" customHeight="1" x14ac:dyDescent="0.25">
      <c r="A143" s="659" t="s">
        <v>59</v>
      </c>
      <c r="B143" s="659"/>
      <c r="C143" s="659"/>
      <c r="D143" s="659"/>
      <c r="E143" s="659"/>
      <c r="F143" s="659"/>
      <c r="G143" s="659"/>
      <c r="H143" s="659"/>
      <c r="I143" s="659"/>
      <c r="J143" s="659"/>
      <c r="K143" s="659"/>
      <c r="L143" s="659"/>
      <c r="M143" s="659"/>
      <c r="N143" s="659"/>
      <c r="O143" s="89"/>
      <c r="P143" s="89"/>
      <c r="Q143" s="89"/>
      <c r="R143" s="23"/>
      <c r="S143" s="22"/>
      <c r="T143" s="76"/>
      <c r="U143" s="76"/>
      <c r="V143" s="39"/>
      <c r="W143" s="39"/>
      <c r="Y143" s="19"/>
      <c r="Z143" s="19"/>
      <c r="AA143"/>
      <c r="AB143"/>
    </row>
    <row r="144" spans="1:28" s="1" customFormat="1" ht="24" x14ac:dyDescent="0.25">
      <c r="A144" s="2" t="s">
        <v>17</v>
      </c>
      <c r="B144" s="2" t="s">
        <v>16</v>
      </c>
      <c r="C144" s="2" t="s">
        <v>9</v>
      </c>
      <c r="D144" s="2" t="s">
        <v>10</v>
      </c>
      <c r="E144" s="2" t="s">
        <v>11</v>
      </c>
      <c r="F144" s="2" t="s">
        <v>12</v>
      </c>
      <c r="G144" s="2" t="s">
        <v>13</v>
      </c>
      <c r="H144" s="2" t="s">
        <v>14</v>
      </c>
      <c r="I144" s="2" t="s">
        <v>15</v>
      </c>
      <c r="J144" s="54" t="s">
        <v>24</v>
      </c>
      <c r="K144" s="2" t="s">
        <v>25</v>
      </c>
      <c r="L144" s="2" t="s">
        <v>26</v>
      </c>
      <c r="M144" s="2" t="s">
        <v>27</v>
      </c>
      <c r="N144" s="3" t="s">
        <v>28</v>
      </c>
      <c r="O144" s="62">
        <v>2021</v>
      </c>
      <c r="P144" s="85">
        <v>2020</v>
      </c>
      <c r="Q144" s="90"/>
      <c r="R144" s="3"/>
      <c r="S144" s="24"/>
      <c r="T144" s="79"/>
      <c r="U144" s="79"/>
      <c r="V144" s="82"/>
      <c r="W144" s="79"/>
      <c r="Y144" s="19"/>
      <c r="Z144" s="19"/>
      <c r="AA144"/>
      <c r="AB144"/>
    </row>
    <row r="145" spans="1:28" s="1" customFormat="1" x14ac:dyDescent="0.25">
      <c r="A145" s="6">
        <v>1</v>
      </c>
      <c r="B145" s="46"/>
      <c r="C145" s="60"/>
      <c r="D145" s="60">
        <v>10077.44</v>
      </c>
      <c r="E145" s="60">
        <v>10077.44</v>
      </c>
      <c r="F145" s="60">
        <v>10077.44</v>
      </c>
      <c r="G145" s="60">
        <v>10077.44</v>
      </c>
      <c r="H145" s="60">
        <v>10077.44</v>
      </c>
      <c r="I145" s="60">
        <v>10077.44</v>
      </c>
      <c r="J145" s="95">
        <v>10077.44</v>
      </c>
      <c r="K145" s="95">
        <v>10077.44</v>
      </c>
      <c r="L145" s="95">
        <v>10077.44</v>
      </c>
      <c r="M145" s="95">
        <v>10077.44</v>
      </c>
      <c r="N145" s="95">
        <v>10077.44</v>
      </c>
      <c r="O145" s="72">
        <f>SUM(C145:N145)</f>
        <v>110851.84000000001</v>
      </c>
      <c r="P145" s="91"/>
      <c r="Q145" s="91"/>
      <c r="R145" s="116"/>
      <c r="S145" s="8"/>
      <c r="T145" s="10"/>
      <c r="U145" s="10"/>
      <c r="V145" s="30"/>
      <c r="W145" s="75">
        <f>O145+R145+S145+T145+U145+V145+Q145+P145</f>
        <v>110851.84000000001</v>
      </c>
      <c r="Y145" s="19"/>
      <c r="Z145" s="19"/>
      <c r="AA145"/>
      <c r="AB145"/>
    </row>
    <row r="146" spans="1:28" s="1" customFormat="1" x14ac:dyDescent="0.25">
      <c r="A146" s="6">
        <v>2</v>
      </c>
      <c r="B146" s="46"/>
      <c r="C146" s="60"/>
      <c r="D146" s="60"/>
      <c r="E146" s="60"/>
      <c r="F146" s="60">
        <v>8285.4500000000007</v>
      </c>
      <c r="G146" s="60">
        <v>8285.4500000000007</v>
      </c>
      <c r="H146" s="60">
        <v>8285.4500000000007</v>
      </c>
      <c r="I146" s="60">
        <v>8285.4500000000007</v>
      </c>
      <c r="J146" s="95">
        <v>8285.4500000000007</v>
      </c>
      <c r="K146" s="95">
        <v>8285.4500000000007</v>
      </c>
      <c r="L146" s="95">
        <v>8285.4500000000007</v>
      </c>
      <c r="M146" s="95">
        <v>8285.4500000000007</v>
      </c>
      <c r="N146" s="95">
        <v>8285.4500000000007</v>
      </c>
      <c r="O146" s="72">
        <f t="shared" ref="O146:O152" si="32">SUM(C146:N146)</f>
        <v>74569.049999999988</v>
      </c>
      <c r="P146" s="91"/>
      <c r="Q146" s="91"/>
      <c r="R146" s="116"/>
      <c r="S146" s="8"/>
      <c r="T146" s="10"/>
      <c r="U146" s="10"/>
      <c r="V146" s="30"/>
      <c r="W146" s="75">
        <f t="shared" ref="W146:W149" si="33">O146+R146+S146+T146+U146+V146+Q146+P146</f>
        <v>74569.049999999988</v>
      </c>
      <c r="Y146" s="19"/>
      <c r="Z146" s="19"/>
      <c r="AA146"/>
      <c r="AB146"/>
    </row>
    <row r="147" spans="1:28" s="1" customFormat="1" x14ac:dyDescent="0.25">
      <c r="A147" s="6">
        <v>3</v>
      </c>
      <c r="B147" s="45"/>
      <c r="C147" s="60"/>
      <c r="D147" s="60"/>
      <c r="E147" s="60"/>
      <c r="F147" s="60">
        <v>4308.5</v>
      </c>
      <c r="G147" s="60">
        <v>4308.5</v>
      </c>
      <c r="H147" s="60">
        <v>4308.5</v>
      </c>
      <c r="I147" s="60">
        <v>4308.5</v>
      </c>
      <c r="J147" s="95">
        <v>4308.5</v>
      </c>
      <c r="K147" s="95">
        <v>4308.5</v>
      </c>
      <c r="L147" s="95">
        <v>4308.5</v>
      </c>
      <c r="M147" s="95">
        <v>4308.5</v>
      </c>
      <c r="N147" s="95">
        <v>4308.5</v>
      </c>
      <c r="O147" s="72">
        <f t="shared" si="32"/>
        <v>38776.5</v>
      </c>
      <c r="P147" s="91"/>
      <c r="Q147" s="91"/>
      <c r="R147" s="116"/>
      <c r="S147" s="8"/>
      <c r="T147" s="10"/>
      <c r="U147" s="10"/>
      <c r="V147" s="30"/>
      <c r="W147" s="75">
        <f t="shared" si="33"/>
        <v>38776.5</v>
      </c>
      <c r="Y147" s="19"/>
      <c r="Z147" s="19"/>
      <c r="AA147"/>
      <c r="AB147"/>
    </row>
    <row r="148" spans="1:28" s="1" customFormat="1" x14ac:dyDescent="0.25">
      <c r="A148" s="6">
        <v>4</v>
      </c>
      <c r="B148" s="46"/>
      <c r="C148" s="60"/>
      <c r="D148" s="60"/>
      <c r="E148" s="60"/>
      <c r="F148" s="60"/>
      <c r="G148" s="60">
        <v>9038.61</v>
      </c>
      <c r="H148" s="60">
        <v>9038.61</v>
      </c>
      <c r="I148" s="60">
        <v>9038.61</v>
      </c>
      <c r="J148" s="95">
        <v>9038.61</v>
      </c>
      <c r="K148" s="95">
        <v>9038.61</v>
      </c>
      <c r="L148" s="95">
        <v>9038.61</v>
      </c>
      <c r="M148" s="95">
        <v>9038.61</v>
      </c>
      <c r="N148" s="95">
        <v>9038.61</v>
      </c>
      <c r="O148" s="72">
        <f t="shared" si="32"/>
        <v>72308.88</v>
      </c>
      <c r="P148" s="91"/>
      <c r="Q148" s="91"/>
      <c r="R148" s="116"/>
      <c r="S148" s="8"/>
      <c r="T148" s="10"/>
      <c r="U148" s="10"/>
      <c r="V148" s="30"/>
      <c r="W148" s="75">
        <f t="shared" si="33"/>
        <v>72308.88</v>
      </c>
      <c r="Y148" s="19"/>
      <c r="Z148" s="19"/>
      <c r="AA148"/>
      <c r="AB148"/>
    </row>
    <row r="149" spans="1:28" s="1" customFormat="1" x14ac:dyDescent="0.25">
      <c r="A149" s="6">
        <v>5</v>
      </c>
      <c r="B149" s="47"/>
      <c r="C149" s="60"/>
      <c r="D149" s="60"/>
      <c r="E149" s="60"/>
      <c r="F149" s="60"/>
      <c r="G149" s="60">
        <v>4750.68</v>
      </c>
      <c r="H149" s="60">
        <v>4750.68</v>
      </c>
      <c r="I149" s="60">
        <v>4750.68</v>
      </c>
      <c r="J149" s="95">
        <v>4750.68</v>
      </c>
      <c r="K149" s="95">
        <v>4750.68</v>
      </c>
      <c r="L149" s="95">
        <v>4750.68</v>
      </c>
      <c r="M149" s="95">
        <v>4750.68</v>
      </c>
      <c r="N149" s="95">
        <v>4750.68</v>
      </c>
      <c r="O149" s="72">
        <f t="shared" si="32"/>
        <v>38005.440000000002</v>
      </c>
      <c r="P149" s="91"/>
      <c r="Q149" s="91"/>
      <c r="R149" s="116"/>
      <c r="S149" s="8"/>
      <c r="T149" s="10"/>
      <c r="U149" s="10"/>
      <c r="V149" s="30"/>
      <c r="W149" s="75">
        <f t="shared" si="33"/>
        <v>38005.440000000002</v>
      </c>
      <c r="Y149" s="19"/>
      <c r="Z149" s="19"/>
      <c r="AA149"/>
      <c r="AB149"/>
    </row>
    <row r="150" spans="1:28" s="1" customFormat="1" x14ac:dyDescent="0.25">
      <c r="A150" s="6">
        <v>6</v>
      </c>
      <c r="B150" s="46"/>
      <c r="C150" s="60"/>
      <c r="D150" s="60"/>
      <c r="E150" s="60"/>
      <c r="F150" s="60"/>
      <c r="G150" s="60"/>
      <c r="H150" s="60">
        <v>7375.05</v>
      </c>
      <c r="I150" s="60">
        <v>7375.05</v>
      </c>
      <c r="J150" s="95">
        <v>7375.05</v>
      </c>
      <c r="K150" s="95">
        <v>7375.05</v>
      </c>
      <c r="L150" s="95">
        <v>7375.05</v>
      </c>
      <c r="M150" s="95">
        <v>7375.05</v>
      </c>
      <c r="N150" s="95">
        <v>7375.05</v>
      </c>
      <c r="O150" s="72">
        <f t="shared" si="32"/>
        <v>51625.350000000006</v>
      </c>
      <c r="P150" s="91"/>
      <c r="Q150" s="91"/>
      <c r="R150" s="116"/>
      <c r="S150" s="8"/>
      <c r="T150" s="10"/>
      <c r="U150" s="10"/>
      <c r="V150" s="30"/>
      <c r="W150" s="75">
        <f>O150+R150+S150+T150+U150+V150+Q150+P150</f>
        <v>51625.350000000006</v>
      </c>
      <c r="Y150" s="19"/>
      <c r="Z150" s="19"/>
      <c r="AA150"/>
      <c r="AB150"/>
    </row>
    <row r="151" spans="1:28" s="1" customFormat="1" x14ac:dyDescent="0.25">
      <c r="A151" s="6">
        <v>7</v>
      </c>
      <c r="B151" s="7"/>
      <c r="C151" s="8"/>
      <c r="D151" s="8"/>
      <c r="E151" s="8"/>
      <c r="F151" s="8"/>
      <c r="G151" s="8"/>
      <c r="H151" s="8"/>
      <c r="I151" s="8"/>
      <c r="J151" s="93"/>
      <c r="K151" s="93">
        <v>5514.83</v>
      </c>
      <c r="L151" s="93">
        <v>5514.83</v>
      </c>
      <c r="M151" s="93">
        <v>5514.83</v>
      </c>
      <c r="N151" s="93">
        <v>5514.83</v>
      </c>
      <c r="O151" s="72">
        <f t="shared" si="32"/>
        <v>22059.32</v>
      </c>
      <c r="P151" s="91"/>
      <c r="Q151" s="91"/>
      <c r="R151" s="116"/>
      <c r="S151" s="91"/>
      <c r="T151" s="91"/>
      <c r="U151" s="91"/>
      <c r="V151" s="113"/>
      <c r="W151" s="75">
        <f t="shared" ref="W151:W163" si="34">O151+R151+S151+T151+U151+V151+Q151+P151</f>
        <v>22059.32</v>
      </c>
      <c r="Y151" s="19"/>
      <c r="Z151" s="19"/>
      <c r="AA151"/>
      <c r="AB151"/>
    </row>
    <row r="152" spans="1:28" s="1" customFormat="1" x14ac:dyDescent="0.25">
      <c r="A152" s="6">
        <v>8</v>
      </c>
      <c r="B152" s="45"/>
      <c r="C152" s="8"/>
      <c r="D152" s="8"/>
      <c r="E152" s="8"/>
      <c r="F152" s="8"/>
      <c r="G152" s="8"/>
      <c r="H152" s="8"/>
      <c r="I152" s="8"/>
      <c r="J152" s="93"/>
      <c r="K152" s="93">
        <v>8124.54</v>
      </c>
      <c r="L152" s="93">
        <v>8124.54</v>
      </c>
      <c r="M152" s="93">
        <v>8124.54</v>
      </c>
      <c r="N152" s="93">
        <v>8124.54</v>
      </c>
      <c r="O152" s="72">
        <f t="shared" si="32"/>
        <v>32498.16</v>
      </c>
      <c r="P152" s="91"/>
      <c r="Q152" s="91"/>
      <c r="R152" s="116"/>
      <c r="S152" s="8"/>
      <c r="T152" s="10"/>
      <c r="U152" s="10"/>
      <c r="V152" s="30"/>
      <c r="W152" s="75">
        <f t="shared" si="34"/>
        <v>32498.16</v>
      </c>
      <c r="Y152" s="19"/>
      <c r="Z152" s="19"/>
      <c r="AA152"/>
      <c r="AB152"/>
    </row>
    <row r="153" spans="1:28" s="1" customFormat="1" x14ac:dyDescent="0.25">
      <c r="A153" s="6">
        <v>9</v>
      </c>
      <c r="B153" s="45"/>
      <c r="C153" s="8"/>
      <c r="D153" s="8"/>
      <c r="E153" s="8"/>
      <c r="F153" s="8"/>
      <c r="G153" s="8"/>
      <c r="H153" s="8"/>
      <c r="I153" s="8"/>
      <c r="J153" s="93"/>
      <c r="K153" s="93">
        <v>1591.56</v>
      </c>
      <c r="L153" s="93">
        <v>1591.56</v>
      </c>
      <c r="M153" s="93">
        <v>1591.56</v>
      </c>
      <c r="N153" s="93">
        <v>1591.56</v>
      </c>
      <c r="O153" s="72">
        <f t="shared" ref="O153:O164" si="35">SUM(C153:N153)</f>
        <v>6366.24</v>
      </c>
      <c r="P153" s="91"/>
      <c r="Q153" s="91"/>
      <c r="R153" s="116"/>
      <c r="S153" s="8"/>
      <c r="T153" s="10"/>
      <c r="U153" s="10"/>
      <c r="V153" s="30"/>
      <c r="W153" s="75">
        <f t="shared" si="34"/>
        <v>6366.24</v>
      </c>
      <c r="Y153" s="19"/>
      <c r="Z153" s="19"/>
      <c r="AA153"/>
      <c r="AB153"/>
    </row>
    <row r="154" spans="1:28" s="1" customFormat="1" x14ac:dyDescent="0.25">
      <c r="A154" s="6">
        <v>10</v>
      </c>
      <c r="B154" s="45"/>
      <c r="C154" s="10"/>
      <c r="D154" s="10"/>
      <c r="E154" s="10"/>
      <c r="F154" s="10"/>
      <c r="G154" s="10"/>
      <c r="H154" s="10">
        <v>1226.5899999999999</v>
      </c>
      <c r="I154" s="10">
        <v>1226.5899999999999</v>
      </c>
      <c r="J154" s="93">
        <v>1226.5899999999999</v>
      </c>
      <c r="K154" s="93">
        <v>1226.5899999999999</v>
      </c>
      <c r="L154" s="93">
        <v>1226.5899999999999</v>
      </c>
      <c r="M154" s="93">
        <v>1226.5899999999999</v>
      </c>
      <c r="N154" s="93">
        <v>1226.5899999999999</v>
      </c>
      <c r="O154" s="72">
        <f t="shared" si="35"/>
        <v>8586.1299999999992</v>
      </c>
      <c r="P154" s="91"/>
      <c r="Q154" s="91"/>
      <c r="R154" s="116"/>
      <c r="S154" s="8"/>
      <c r="T154" s="10"/>
      <c r="U154" s="10"/>
      <c r="V154" s="30"/>
      <c r="W154" s="75">
        <f t="shared" si="34"/>
        <v>8586.1299999999992</v>
      </c>
      <c r="Y154" s="19"/>
      <c r="Z154" s="19"/>
      <c r="AA154"/>
      <c r="AB154"/>
    </row>
    <row r="155" spans="1:28" s="1" customFormat="1" x14ac:dyDescent="0.25">
      <c r="A155" s="6">
        <v>11</v>
      </c>
      <c r="B155" s="45"/>
      <c r="C155" s="8"/>
      <c r="D155" s="8"/>
      <c r="E155" s="8"/>
      <c r="F155" s="8"/>
      <c r="G155" s="8"/>
      <c r="H155" s="8"/>
      <c r="I155" s="8"/>
      <c r="J155" s="93">
        <v>11144.97</v>
      </c>
      <c r="K155" s="93">
        <v>11144.97</v>
      </c>
      <c r="L155" s="93">
        <v>11144.97</v>
      </c>
      <c r="M155" s="93">
        <v>11144.97</v>
      </c>
      <c r="N155" s="93">
        <v>11144.97</v>
      </c>
      <c r="O155" s="72">
        <f t="shared" si="35"/>
        <v>55724.85</v>
      </c>
      <c r="P155" s="91"/>
      <c r="Q155" s="91"/>
      <c r="R155" s="116"/>
      <c r="S155" s="8"/>
      <c r="T155" s="10"/>
      <c r="U155" s="10"/>
      <c r="V155" s="30"/>
      <c r="W155" s="75">
        <f t="shared" si="34"/>
        <v>55724.85</v>
      </c>
      <c r="Y155" s="19"/>
      <c r="Z155" s="19"/>
      <c r="AA155"/>
      <c r="AB155"/>
    </row>
    <row r="156" spans="1:28" s="1" customFormat="1" x14ac:dyDescent="0.25">
      <c r="A156" s="6">
        <v>12</v>
      </c>
      <c r="B156" s="45"/>
      <c r="C156" s="8"/>
      <c r="D156" s="8"/>
      <c r="E156" s="8"/>
      <c r="F156" s="8"/>
      <c r="G156" s="8"/>
      <c r="H156" s="8"/>
      <c r="I156" s="8"/>
      <c r="J156" s="93">
        <v>2567.48</v>
      </c>
      <c r="K156" s="93">
        <v>2567.48</v>
      </c>
      <c r="L156" s="93">
        <v>2567.48</v>
      </c>
      <c r="M156" s="93">
        <v>2567.48</v>
      </c>
      <c r="N156" s="93">
        <v>2567.48</v>
      </c>
      <c r="O156" s="72">
        <f t="shared" si="35"/>
        <v>12837.4</v>
      </c>
      <c r="P156" s="91"/>
      <c r="Q156" s="91"/>
      <c r="R156" s="116"/>
      <c r="S156" s="8"/>
      <c r="T156" s="10"/>
      <c r="U156" s="10"/>
      <c r="V156" s="30"/>
      <c r="W156" s="75">
        <f t="shared" si="34"/>
        <v>12837.4</v>
      </c>
      <c r="Y156" s="19"/>
      <c r="Z156" s="19"/>
      <c r="AA156"/>
      <c r="AB156"/>
    </row>
    <row r="157" spans="1:28" s="1" customFormat="1" x14ac:dyDescent="0.25">
      <c r="A157" s="6">
        <v>13</v>
      </c>
      <c r="B157" s="45"/>
      <c r="C157" s="10"/>
      <c r="D157" s="10"/>
      <c r="E157" s="10"/>
      <c r="F157" s="10"/>
      <c r="G157" s="10"/>
      <c r="H157" s="10"/>
      <c r="I157" s="10"/>
      <c r="J157" s="93"/>
      <c r="K157" s="93"/>
      <c r="L157" s="93"/>
      <c r="M157" s="93"/>
      <c r="N157" s="93"/>
      <c r="O157" s="72">
        <f t="shared" si="35"/>
        <v>0</v>
      </c>
      <c r="P157" s="91"/>
      <c r="Q157" s="91"/>
      <c r="R157" s="116"/>
      <c r="S157" s="8"/>
      <c r="T157" s="10"/>
      <c r="U157" s="10"/>
      <c r="V157" s="30"/>
      <c r="W157" s="75">
        <f t="shared" si="34"/>
        <v>0</v>
      </c>
      <c r="Y157" s="19"/>
      <c r="Z157" s="19"/>
      <c r="AA157"/>
      <c r="AB157"/>
    </row>
    <row r="158" spans="1:28" s="1" customFormat="1" x14ac:dyDescent="0.25">
      <c r="A158" s="6">
        <v>14</v>
      </c>
      <c r="B158" s="45"/>
      <c r="C158" s="8"/>
      <c r="D158" s="8"/>
      <c r="E158" s="8"/>
      <c r="F158" s="8"/>
      <c r="G158" s="8"/>
      <c r="H158" s="8"/>
      <c r="I158" s="8"/>
      <c r="J158" s="93"/>
      <c r="K158" s="93"/>
      <c r="L158" s="93"/>
      <c r="M158" s="93"/>
      <c r="N158" s="93"/>
      <c r="O158" s="72">
        <f t="shared" si="35"/>
        <v>0</v>
      </c>
      <c r="P158" s="91"/>
      <c r="Q158" s="91"/>
      <c r="R158" s="116"/>
      <c r="S158" s="8"/>
      <c r="T158" s="10"/>
      <c r="U158" s="10"/>
      <c r="V158" s="30"/>
      <c r="W158" s="75">
        <f t="shared" si="34"/>
        <v>0</v>
      </c>
      <c r="Y158" s="19"/>
      <c r="Z158" s="19"/>
      <c r="AA158"/>
      <c r="AB158"/>
    </row>
    <row r="159" spans="1:28" s="1" customFormat="1" x14ac:dyDescent="0.25">
      <c r="A159" s="6">
        <v>15</v>
      </c>
      <c r="B159" s="45"/>
      <c r="C159" s="8"/>
      <c r="D159" s="8"/>
      <c r="E159" s="8"/>
      <c r="F159" s="8"/>
      <c r="G159" s="8"/>
      <c r="H159" s="8"/>
      <c r="I159" s="8"/>
      <c r="J159" s="93"/>
      <c r="K159" s="93"/>
      <c r="L159" s="93"/>
      <c r="M159" s="93"/>
      <c r="N159" s="93"/>
      <c r="O159" s="72">
        <f t="shared" si="35"/>
        <v>0</v>
      </c>
      <c r="P159" s="91"/>
      <c r="Q159" s="91"/>
      <c r="R159" s="116"/>
      <c r="S159" s="8"/>
      <c r="T159" s="10"/>
      <c r="U159" s="10"/>
      <c r="V159" s="30"/>
      <c r="W159" s="75">
        <f t="shared" si="34"/>
        <v>0</v>
      </c>
      <c r="Y159" s="19"/>
      <c r="Z159" s="19"/>
      <c r="AA159"/>
      <c r="AB159"/>
    </row>
    <row r="160" spans="1:28" s="1" customFormat="1" x14ac:dyDescent="0.25">
      <c r="A160" s="6">
        <v>16</v>
      </c>
      <c r="B160" s="45"/>
      <c r="C160" s="8"/>
      <c r="D160" s="8"/>
      <c r="E160" s="8"/>
      <c r="F160" s="8"/>
      <c r="G160" s="8"/>
      <c r="H160" s="8"/>
      <c r="I160" s="8"/>
      <c r="J160" s="93"/>
      <c r="K160" s="93"/>
      <c r="L160" s="93"/>
      <c r="M160" s="93"/>
      <c r="N160" s="93"/>
      <c r="O160" s="72">
        <f t="shared" si="35"/>
        <v>0</v>
      </c>
      <c r="P160" s="91"/>
      <c r="Q160" s="91"/>
      <c r="R160" s="116"/>
      <c r="S160" s="8"/>
      <c r="T160" s="10"/>
      <c r="U160" s="10"/>
      <c r="V160" s="30"/>
      <c r="W160" s="75">
        <f t="shared" si="34"/>
        <v>0</v>
      </c>
      <c r="Y160" s="19"/>
      <c r="Z160" s="19"/>
      <c r="AA160"/>
      <c r="AB160"/>
    </row>
    <row r="161" spans="1:28" s="1" customFormat="1" x14ac:dyDescent="0.25">
      <c r="A161" s="6">
        <v>17</v>
      </c>
      <c r="B161" s="45"/>
      <c r="C161" s="8"/>
      <c r="D161" s="8"/>
      <c r="E161" s="8"/>
      <c r="F161" s="8"/>
      <c r="G161" s="8"/>
      <c r="H161" s="8"/>
      <c r="I161" s="8"/>
      <c r="J161" s="93"/>
      <c r="K161" s="93"/>
      <c r="L161" s="93"/>
      <c r="M161" s="93"/>
      <c r="N161" s="93"/>
      <c r="O161" s="72">
        <f t="shared" si="35"/>
        <v>0</v>
      </c>
      <c r="P161" s="91"/>
      <c r="Q161" s="91"/>
      <c r="R161" s="116"/>
      <c r="S161" s="8"/>
      <c r="T161" s="10"/>
      <c r="U161" s="10"/>
      <c r="V161" s="30"/>
      <c r="W161" s="75">
        <f t="shared" si="34"/>
        <v>0</v>
      </c>
      <c r="Y161" s="19"/>
      <c r="Z161" s="19"/>
      <c r="AA161"/>
      <c r="AB161"/>
    </row>
    <row r="162" spans="1:28" s="1" customFormat="1" x14ac:dyDescent="0.25">
      <c r="A162" s="6">
        <v>18</v>
      </c>
      <c r="B162" s="45"/>
      <c r="C162" s="8"/>
      <c r="D162" s="8"/>
      <c r="E162" s="8"/>
      <c r="F162" s="8"/>
      <c r="G162" s="8"/>
      <c r="H162" s="8"/>
      <c r="I162" s="8"/>
      <c r="J162" s="93"/>
      <c r="K162" s="93"/>
      <c r="L162" s="93"/>
      <c r="M162" s="93"/>
      <c r="N162" s="93"/>
      <c r="O162" s="72">
        <f t="shared" si="35"/>
        <v>0</v>
      </c>
      <c r="P162" s="91"/>
      <c r="Q162" s="91"/>
      <c r="R162" s="116"/>
      <c r="S162" s="8"/>
      <c r="T162" s="10"/>
      <c r="U162" s="10"/>
      <c r="V162" s="30"/>
      <c r="W162" s="75">
        <f t="shared" si="34"/>
        <v>0</v>
      </c>
      <c r="Y162" s="19"/>
      <c r="Z162" s="19"/>
      <c r="AA162"/>
      <c r="AB162"/>
    </row>
    <row r="163" spans="1:28" s="1" customFormat="1" x14ac:dyDescent="0.25">
      <c r="A163" s="6">
        <v>19</v>
      </c>
      <c r="B163" s="45"/>
      <c r="C163" s="8"/>
      <c r="D163" s="8"/>
      <c r="E163" s="8"/>
      <c r="F163" s="8"/>
      <c r="G163" s="8"/>
      <c r="H163" s="8"/>
      <c r="I163" s="8"/>
      <c r="J163" s="93"/>
      <c r="K163" s="93"/>
      <c r="L163" s="93"/>
      <c r="M163" s="93"/>
      <c r="N163" s="93"/>
      <c r="O163" s="72">
        <f t="shared" si="35"/>
        <v>0</v>
      </c>
      <c r="P163" s="91"/>
      <c r="Q163" s="91"/>
      <c r="R163" s="116"/>
      <c r="S163" s="8"/>
      <c r="T163" s="10"/>
      <c r="U163" s="10"/>
      <c r="V163" s="30"/>
      <c r="W163" s="75">
        <f t="shared" si="34"/>
        <v>0</v>
      </c>
      <c r="Y163" s="19"/>
      <c r="Z163" s="19"/>
      <c r="AA163"/>
      <c r="AB163"/>
    </row>
    <row r="164" spans="1:28" s="1" customFormat="1" x14ac:dyDescent="0.25">
      <c r="A164" s="15"/>
      <c r="B164" s="16" t="s">
        <v>18</v>
      </c>
      <c r="C164" s="17">
        <f>SUM(C145:C163)</f>
        <v>0</v>
      </c>
      <c r="D164" s="17">
        <f t="shared" ref="D164:N164" si="36">SUM(D145:D163)</f>
        <v>10077.44</v>
      </c>
      <c r="E164" s="17">
        <f t="shared" si="36"/>
        <v>10077.44</v>
      </c>
      <c r="F164" s="17">
        <f t="shared" si="36"/>
        <v>22671.39</v>
      </c>
      <c r="G164" s="17">
        <f t="shared" si="36"/>
        <v>36460.68</v>
      </c>
      <c r="H164" s="17">
        <f t="shared" si="36"/>
        <v>45062.32</v>
      </c>
      <c r="I164" s="17">
        <f t="shared" si="36"/>
        <v>45062.32</v>
      </c>
      <c r="J164" s="17">
        <f t="shared" si="36"/>
        <v>58774.770000000004</v>
      </c>
      <c r="K164" s="17">
        <f t="shared" si="36"/>
        <v>74005.7</v>
      </c>
      <c r="L164" s="17">
        <f t="shared" si="36"/>
        <v>74005.7</v>
      </c>
      <c r="M164" s="17">
        <f t="shared" si="36"/>
        <v>74005.7</v>
      </c>
      <c r="N164" s="17">
        <f t="shared" si="36"/>
        <v>74005.7</v>
      </c>
      <c r="O164" s="72">
        <f t="shared" si="35"/>
        <v>524209.16000000009</v>
      </c>
      <c r="P164" s="91"/>
      <c r="Q164" s="17">
        <f t="shared" ref="Q164:U164" si="37">SUM(Q145:Q163)</f>
        <v>0</v>
      </c>
      <c r="R164" s="17">
        <f t="shared" si="37"/>
        <v>0</v>
      </c>
      <c r="S164" s="17">
        <f t="shared" si="37"/>
        <v>0</v>
      </c>
      <c r="T164" s="17">
        <f t="shared" si="37"/>
        <v>0</v>
      </c>
      <c r="U164" s="17">
        <f t="shared" si="37"/>
        <v>0</v>
      </c>
      <c r="V164" s="30"/>
      <c r="W164" s="115">
        <f>SUM(W145:W160)</f>
        <v>524209.16000000003</v>
      </c>
      <c r="Y164" s="19"/>
      <c r="Z164" s="19"/>
      <c r="AA164"/>
      <c r="AB164"/>
    </row>
    <row r="165" spans="1:28" s="1" customFormat="1" x14ac:dyDescent="0.25">
      <c r="A165" s="101"/>
      <c r="B165" s="102"/>
      <c r="C165" s="103"/>
      <c r="D165" s="103"/>
      <c r="E165" s="103"/>
      <c r="F165" s="103"/>
      <c r="G165" s="103"/>
      <c r="H165" s="103"/>
      <c r="I165" s="103"/>
      <c r="J165" s="104"/>
      <c r="K165" s="103"/>
      <c r="L165" s="103"/>
      <c r="M165" s="103"/>
      <c r="N165" s="103"/>
      <c r="O165" s="104"/>
      <c r="P165" s="104"/>
      <c r="Q165" s="103"/>
      <c r="R165" s="103"/>
      <c r="S165" s="103"/>
      <c r="T165" s="104"/>
      <c r="U165" s="104"/>
      <c r="V165" s="76"/>
      <c r="W165" s="21"/>
      <c r="Y165" s="19"/>
      <c r="Z165" s="19"/>
      <c r="AA165"/>
      <c r="AB165"/>
    </row>
    <row r="166" spans="1:28" s="1" customFormat="1" x14ac:dyDescent="0.25">
      <c r="A166" s="101"/>
      <c r="B166" s="102"/>
      <c r="C166" s="103"/>
      <c r="D166" s="103"/>
      <c r="E166" s="103"/>
      <c r="F166" s="103"/>
      <c r="G166" s="103"/>
      <c r="H166" s="103"/>
      <c r="I166" s="103"/>
      <c r="J166" s="104"/>
      <c r="K166" s="103"/>
      <c r="L166" s="103"/>
      <c r="M166" s="103"/>
      <c r="N166" s="103"/>
      <c r="O166" s="104">
        <f>O26+O42+O69+O90+O116+O140+O164</f>
        <v>5559913.2800000003</v>
      </c>
      <c r="P166" s="104"/>
      <c r="Q166" s="103"/>
      <c r="R166" s="103"/>
      <c r="S166" s="103"/>
      <c r="T166" s="104"/>
      <c r="U166" s="104"/>
      <c r="V166" s="76"/>
      <c r="W166" s="21"/>
      <c r="Y166" s="19"/>
      <c r="Z166" s="19"/>
      <c r="AA166"/>
      <c r="AB166"/>
    </row>
    <row r="167" spans="1:28" s="1" customFormat="1" x14ac:dyDescent="0.25">
      <c r="A167" s="101"/>
      <c r="B167" s="102"/>
      <c r="C167" s="103"/>
      <c r="D167" s="103"/>
      <c r="E167" s="103"/>
      <c r="F167" s="103"/>
      <c r="G167" s="103"/>
      <c r="H167" s="103"/>
      <c r="I167" s="103"/>
      <c r="J167" s="104"/>
      <c r="K167" s="103"/>
      <c r="L167" s="103"/>
      <c r="M167" s="103"/>
      <c r="N167" s="103">
        <f>N164/12</f>
        <v>6167.1416666666664</v>
      </c>
      <c r="O167" s="104"/>
      <c r="P167" s="104"/>
      <c r="Q167" s="103"/>
      <c r="R167" s="103"/>
      <c r="S167" s="103"/>
      <c r="T167" s="104"/>
      <c r="U167" s="104"/>
      <c r="V167" s="76"/>
      <c r="W167" s="21"/>
      <c r="Y167" s="19"/>
      <c r="Z167" s="19"/>
      <c r="AA167"/>
      <c r="AB167"/>
    </row>
    <row r="168" spans="1:28" s="1" customFormat="1" x14ac:dyDescent="0.25">
      <c r="A168" s="101"/>
      <c r="B168" s="102"/>
      <c r="C168" s="103"/>
      <c r="D168" s="103"/>
      <c r="E168" s="103"/>
      <c r="F168" s="103"/>
      <c r="G168" s="103"/>
      <c r="H168" s="103"/>
      <c r="I168" s="103"/>
      <c r="J168" s="104"/>
      <c r="K168" s="103"/>
      <c r="L168" s="103"/>
      <c r="M168" s="103"/>
      <c r="N168" s="103">
        <f>N167*12*25</f>
        <v>1850142.5</v>
      </c>
      <c r="O168" s="104">
        <f>N167*12*20</f>
        <v>1480114</v>
      </c>
      <c r="P168" s="104"/>
      <c r="Q168" s="103"/>
      <c r="R168" s="103"/>
      <c r="S168" s="103"/>
      <c r="T168" s="104"/>
      <c r="U168" s="104"/>
      <c r="V168" s="76"/>
      <c r="W168" s="21"/>
      <c r="Y168" s="19"/>
      <c r="Z168" s="19"/>
      <c r="AA168"/>
      <c r="AB168"/>
    </row>
    <row r="169" spans="1:28" s="1" customFormat="1" x14ac:dyDescent="0.25">
      <c r="A169" s="101"/>
      <c r="B169" s="102"/>
      <c r="C169" s="103"/>
      <c r="D169" s="103"/>
      <c r="E169" s="103"/>
      <c r="F169" s="103"/>
      <c r="G169" s="103"/>
      <c r="H169" s="103"/>
      <c r="I169" s="103"/>
      <c r="J169" s="104"/>
      <c r="K169" s="103"/>
      <c r="L169" s="103"/>
      <c r="M169" s="103"/>
      <c r="N169" s="103">
        <f>N168+O166</f>
        <v>7410055.7800000003</v>
      </c>
      <c r="O169" s="104">
        <f>O168+O166</f>
        <v>7040027.2800000003</v>
      </c>
      <c r="P169" s="104"/>
      <c r="Q169" s="103"/>
      <c r="R169" s="103"/>
      <c r="S169" s="103"/>
      <c r="T169" s="104"/>
      <c r="U169" s="104"/>
      <c r="V169" s="76"/>
      <c r="W169" s="21"/>
      <c r="Y169" s="19"/>
      <c r="Z169" s="19"/>
      <c r="AA169"/>
      <c r="AB169"/>
    </row>
    <row r="170" spans="1:28" s="1" customFormat="1" x14ac:dyDescent="0.25">
      <c r="A170" s="101"/>
      <c r="B170" s="102"/>
      <c r="C170" s="103"/>
      <c r="D170" s="103"/>
      <c r="E170" s="103"/>
      <c r="F170" s="103"/>
      <c r="G170" s="103"/>
      <c r="H170" s="103"/>
      <c r="I170" s="103"/>
      <c r="J170" s="104"/>
      <c r="K170" s="103"/>
      <c r="L170" s="103"/>
      <c r="M170" s="103"/>
      <c r="N170" s="103"/>
      <c r="O170" s="104"/>
      <c r="P170" s="104"/>
      <c r="Q170" s="103"/>
      <c r="R170" s="103"/>
      <c r="S170" s="103"/>
      <c r="T170" s="104"/>
      <c r="U170" s="104"/>
      <c r="V170" s="76"/>
      <c r="W170" s="21"/>
      <c r="Y170" s="19"/>
      <c r="Z170" s="19"/>
      <c r="AA170"/>
      <c r="AB170"/>
    </row>
    <row r="171" spans="1:28" s="1" customFormat="1" x14ac:dyDescent="0.25">
      <c r="A171" s="101"/>
      <c r="B171" s="102"/>
      <c r="C171" s="96" t="s">
        <v>62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104"/>
      <c r="P171" s="104"/>
      <c r="Q171" s="103"/>
      <c r="R171" s="103"/>
      <c r="S171" s="103"/>
      <c r="T171" s="104"/>
      <c r="U171" s="104"/>
      <c r="V171" s="76"/>
      <c r="W171" s="21"/>
      <c r="Y171" s="19"/>
      <c r="Z171" s="19"/>
      <c r="AA171"/>
      <c r="AB171"/>
    </row>
    <row r="172" spans="1:28" s="1" customFormat="1" x14ac:dyDescent="0.25">
      <c r="A172" s="101"/>
      <c r="B172" s="102"/>
      <c r="C172" s="96" t="s">
        <v>60</v>
      </c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104"/>
      <c r="P172" s="104"/>
      <c r="Q172" s="103"/>
      <c r="R172" s="103"/>
      <c r="S172" s="103"/>
      <c r="T172" s="104"/>
      <c r="U172" s="104"/>
      <c r="V172" s="76"/>
      <c r="W172" s="21"/>
      <c r="Y172" s="19"/>
      <c r="Z172" s="19"/>
      <c r="AA172"/>
      <c r="AB172"/>
    </row>
    <row r="173" spans="1:28" s="1" customFormat="1" x14ac:dyDescent="0.25">
      <c r="A173" s="101"/>
      <c r="B173" s="102"/>
      <c r="C173" s="96" t="s">
        <v>61</v>
      </c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104"/>
      <c r="P173" s="104"/>
      <c r="Q173" s="103"/>
      <c r="R173" s="103"/>
      <c r="S173" s="103"/>
      <c r="T173" s="104"/>
      <c r="U173" s="104"/>
      <c r="V173" s="76"/>
      <c r="W173" s="21"/>
      <c r="Y173" s="19"/>
      <c r="Z173" s="19"/>
      <c r="AA173"/>
      <c r="AB173"/>
    </row>
    <row r="174" spans="1:28" s="1" customFormat="1" x14ac:dyDescent="0.25">
      <c r="A174" s="101"/>
      <c r="B174" s="102"/>
      <c r="C174" s="103"/>
      <c r="D174" s="103"/>
      <c r="E174" s="103"/>
      <c r="F174" s="103"/>
      <c r="G174" s="103"/>
      <c r="H174" s="103"/>
      <c r="I174" s="103"/>
      <c r="J174" s="104"/>
      <c r="K174" s="103"/>
      <c r="L174" s="103"/>
      <c r="M174" s="103"/>
      <c r="N174" s="103"/>
      <c r="O174" s="104"/>
      <c r="P174" s="104"/>
      <c r="Q174" s="103"/>
      <c r="R174" s="103"/>
      <c r="S174" s="103"/>
      <c r="T174" s="104"/>
      <c r="U174" s="104"/>
      <c r="V174" s="76"/>
      <c r="W174" s="21"/>
      <c r="Y174" s="19"/>
      <c r="Z174" s="19"/>
      <c r="AA174"/>
      <c r="AB174"/>
    </row>
    <row r="175" spans="1:28" s="1" customFormat="1" x14ac:dyDescent="0.25">
      <c r="A175" s="101"/>
      <c r="B175" s="102"/>
      <c r="C175" s="103"/>
      <c r="D175" s="103"/>
      <c r="E175" s="103"/>
      <c r="F175" s="103"/>
      <c r="G175" s="103"/>
      <c r="H175" s="103"/>
      <c r="I175" s="103"/>
      <c r="J175" s="104"/>
      <c r="K175" s="103"/>
      <c r="L175" s="103"/>
      <c r="M175" s="103"/>
      <c r="N175" s="103"/>
      <c r="O175" s="104"/>
      <c r="P175" s="104"/>
      <c r="Q175" s="103"/>
      <c r="R175" s="103"/>
      <c r="S175" s="103"/>
      <c r="T175" s="104"/>
      <c r="U175" s="104"/>
      <c r="V175" s="76"/>
      <c r="W175" s="21"/>
      <c r="Y175" s="19"/>
      <c r="Z175" s="19"/>
      <c r="AA175"/>
      <c r="AB175"/>
    </row>
    <row r="176" spans="1:28" s="1" customFormat="1" x14ac:dyDescent="0.25">
      <c r="A176" s="101"/>
      <c r="B176" s="102"/>
      <c r="C176" s="96" t="s">
        <v>62</v>
      </c>
      <c r="D176" s="97"/>
      <c r="E176" s="103"/>
      <c r="F176" s="103"/>
      <c r="G176" s="103"/>
      <c r="H176" s="103"/>
      <c r="I176" s="103"/>
      <c r="J176" s="104"/>
      <c r="K176" s="103"/>
      <c r="L176" s="103"/>
      <c r="M176" s="103"/>
      <c r="N176" s="103"/>
      <c r="O176" s="104"/>
      <c r="P176" s="104"/>
      <c r="Q176" s="103"/>
      <c r="R176" s="103"/>
      <c r="S176" s="103"/>
      <c r="T176" s="104"/>
      <c r="U176" s="104"/>
      <c r="V176" s="76"/>
      <c r="W176" s="21"/>
      <c r="Y176" s="19"/>
      <c r="Z176" s="19"/>
      <c r="AA176"/>
      <c r="AB176"/>
    </row>
    <row r="177" spans="1:28" s="1" customFormat="1" x14ac:dyDescent="0.25">
      <c r="A177" s="101"/>
      <c r="B177" s="102"/>
      <c r="C177" s="96" t="s">
        <v>63</v>
      </c>
      <c r="D177" s="97"/>
      <c r="E177" s="103"/>
      <c r="F177" s="103"/>
      <c r="G177" s="103"/>
      <c r="H177" s="103"/>
      <c r="I177" s="103"/>
      <c r="J177" s="104"/>
      <c r="K177" s="103"/>
      <c r="L177" s="103"/>
      <c r="M177" s="103"/>
      <c r="N177" s="103"/>
      <c r="O177" s="104"/>
      <c r="P177" s="104"/>
      <c r="Q177" s="103"/>
      <c r="R177" s="103"/>
      <c r="S177" s="103"/>
      <c r="T177" s="104"/>
      <c r="U177" s="104"/>
      <c r="V177" s="76"/>
      <c r="W177" s="21"/>
      <c r="Y177" s="19"/>
      <c r="Z177" s="19"/>
      <c r="AA177"/>
      <c r="AB177"/>
    </row>
    <row r="178" spans="1:28" s="1" customFormat="1" x14ac:dyDescent="0.25">
      <c r="A178" s="101"/>
      <c r="B178" s="102"/>
      <c r="C178" s="96" t="s">
        <v>61</v>
      </c>
      <c r="D178" s="97"/>
      <c r="E178" s="103"/>
      <c r="F178" s="103"/>
      <c r="G178" s="103"/>
      <c r="H178" s="103"/>
      <c r="I178" s="103"/>
      <c r="J178" s="104"/>
      <c r="K178" s="103"/>
      <c r="L178" s="103"/>
      <c r="M178" s="103"/>
      <c r="N178" s="103"/>
      <c r="O178" s="104"/>
      <c r="P178" s="104"/>
      <c r="Q178" s="103"/>
      <c r="R178" s="103"/>
      <c r="S178" s="103"/>
      <c r="T178" s="104"/>
      <c r="U178" s="104"/>
      <c r="V178" s="76"/>
      <c r="W178" s="21"/>
      <c r="Y178" s="19"/>
      <c r="Z178" s="19"/>
      <c r="AA178"/>
      <c r="AB178"/>
    </row>
    <row r="179" spans="1:28" s="1" customFormat="1" x14ac:dyDescent="0.25">
      <c r="A179" s="101"/>
      <c r="B179" s="102"/>
      <c r="C179" s="103"/>
      <c r="D179" s="103"/>
      <c r="E179" s="103"/>
      <c r="F179" s="103"/>
      <c r="G179" s="103"/>
      <c r="H179" s="103"/>
      <c r="I179" s="103"/>
      <c r="J179" s="104"/>
      <c r="K179" s="103"/>
      <c r="L179" s="103"/>
      <c r="M179" s="103"/>
      <c r="N179" s="103"/>
      <c r="O179" s="104"/>
      <c r="P179" s="104"/>
      <c r="Q179" s="103"/>
      <c r="R179" s="103"/>
      <c r="S179" s="103"/>
      <c r="T179" s="104"/>
      <c r="U179" s="104"/>
      <c r="V179" s="76"/>
      <c r="W179" s="21"/>
      <c r="Y179" s="19"/>
      <c r="Z179" s="19"/>
      <c r="AA179"/>
      <c r="AB179"/>
    </row>
    <row r="180" spans="1:28" s="1" customFormat="1" x14ac:dyDescent="0.25">
      <c r="A180" s="101"/>
      <c r="B180" s="102"/>
      <c r="C180" s="103"/>
      <c r="D180" s="103"/>
      <c r="E180" s="103"/>
      <c r="F180" s="103"/>
      <c r="G180" s="103"/>
      <c r="H180" s="103"/>
      <c r="I180" s="103"/>
      <c r="J180" s="104"/>
      <c r="K180" s="103"/>
      <c r="L180" s="103"/>
      <c r="M180" s="103"/>
      <c r="N180" s="103"/>
      <c r="O180" s="104"/>
      <c r="P180" s="104"/>
      <c r="Q180" s="103"/>
      <c r="R180" s="103"/>
      <c r="S180" s="103"/>
      <c r="T180" s="104"/>
      <c r="U180" s="104"/>
      <c r="V180" s="76"/>
      <c r="W180" s="21"/>
      <c r="Y180" s="19"/>
      <c r="Z180" s="19"/>
      <c r="AA180"/>
      <c r="AB180"/>
    </row>
    <row r="181" spans="1:28" s="1" customFormat="1" x14ac:dyDescent="0.25">
      <c r="A181" s="101"/>
      <c r="B181" s="102"/>
      <c r="C181" s="103"/>
      <c r="D181" s="103"/>
      <c r="E181" s="103"/>
      <c r="F181" s="103"/>
      <c r="G181" s="103"/>
      <c r="H181" s="103"/>
      <c r="I181" s="103"/>
      <c r="J181" s="104"/>
      <c r="K181" s="103"/>
      <c r="L181" s="103"/>
      <c r="M181" s="103"/>
      <c r="N181" s="103"/>
      <c r="O181" s="104"/>
      <c r="P181" s="104"/>
      <c r="Q181" s="103"/>
      <c r="R181" s="103"/>
      <c r="S181" s="103"/>
      <c r="T181" s="104"/>
      <c r="U181" s="104"/>
      <c r="V181" s="76"/>
      <c r="W181" s="21"/>
      <c r="Y181" s="19"/>
      <c r="Z181" s="19"/>
      <c r="AA181"/>
      <c r="AB181"/>
    </row>
    <row r="182" spans="1:28" s="1" customFormat="1" x14ac:dyDescent="0.25">
      <c r="A182" s="101"/>
      <c r="B182" s="102"/>
      <c r="C182" s="103"/>
      <c r="D182" s="103"/>
      <c r="E182" s="103"/>
      <c r="F182" s="103"/>
      <c r="G182" s="103"/>
      <c r="H182" s="103"/>
      <c r="I182" s="103"/>
      <c r="J182" s="104"/>
      <c r="K182" s="103"/>
      <c r="L182" s="103"/>
      <c r="M182" s="103"/>
      <c r="N182" s="103"/>
      <c r="O182" s="104"/>
      <c r="P182" s="104"/>
      <c r="Q182" s="103"/>
      <c r="R182" s="103"/>
      <c r="S182" s="103"/>
      <c r="T182" s="104"/>
      <c r="U182" s="104"/>
      <c r="V182" s="76"/>
      <c r="W182" s="21"/>
      <c r="Y182" s="19"/>
      <c r="Z182" s="19"/>
      <c r="AA182"/>
      <c r="AB182"/>
    </row>
    <row r="183" spans="1:28" s="1" customFormat="1" x14ac:dyDescent="0.25">
      <c r="A183" s="101"/>
      <c r="B183" s="102"/>
      <c r="C183" s="103"/>
      <c r="D183" s="103"/>
      <c r="E183" s="103"/>
      <c r="F183" s="103"/>
      <c r="G183" s="103"/>
      <c r="H183" s="103"/>
      <c r="I183" s="103"/>
      <c r="J183" s="104"/>
      <c r="K183" s="103"/>
      <c r="L183" s="103"/>
      <c r="M183" s="103"/>
      <c r="N183" s="103"/>
      <c r="O183" s="104"/>
      <c r="P183" s="104"/>
      <c r="Q183" s="103"/>
      <c r="R183" s="103"/>
      <c r="S183" s="103"/>
      <c r="T183" s="104"/>
      <c r="U183" s="104"/>
      <c r="V183" s="76"/>
      <c r="W183" s="21"/>
      <c r="Y183" s="19"/>
      <c r="Z183" s="19"/>
      <c r="AA183"/>
      <c r="AB183"/>
    </row>
    <row r="184" spans="1:28" s="1" customFormat="1" x14ac:dyDescent="0.25">
      <c r="A184" s="101"/>
      <c r="B184" s="102"/>
      <c r="C184" s="103"/>
      <c r="D184" s="103"/>
      <c r="E184" s="103"/>
      <c r="F184" s="103"/>
      <c r="G184" s="103"/>
      <c r="H184" s="103"/>
      <c r="I184" s="103"/>
      <c r="J184" s="104"/>
      <c r="K184" s="103"/>
      <c r="L184" s="103"/>
      <c r="M184" s="103"/>
      <c r="N184" s="103"/>
      <c r="O184" s="104"/>
      <c r="P184" s="104"/>
      <c r="Q184" s="103"/>
      <c r="R184" s="103"/>
      <c r="S184" s="103"/>
      <c r="T184" s="104"/>
      <c r="U184" s="104"/>
      <c r="V184" s="76"/>
      <c r="W184" s="21"/>
      <c r="Y184" s="19"/>
      <c r="Z184" s="19"/>
      <c r="AA184"/>
      <c r="AB184"/>
    </row>
    <row r="185" spans="1:28" s="1" customFormat="1" x14ac:dyDescent="0.25">
      <c r="A185" s="101"/>
      <c r="B185" s="102"/>
      <c r="C185" s="103"/>
      <c r="D185" s="103"/>
      <c r="E185" s="103"/>
      <c r="F185" s="103"/>
      <c r="G185" s="103"/>
      <c r="H185" s="103"/>
      <c r="I185" s="103"/>
      <c r="J185" s="104"/>
      <c r="K185" s="103"/>
      <c r="L185" s="103"/>
      <c r="M185" s="103"/>
      <c r="N185" s="103"/>
      <c r="O185" s="104"/>
      <c r="P185" s="104"/>
      <c r="Q185" s="103"/>
      <c r="R185" s="103"/>
      <c r="S185" s="103"/>
      <c r="T185" s="104"/>
      <c r="U185" s="104"/>
      <c r="V185" s="76"/>
      <c r="W185" s="21"/>
      <c r="Y185" s="19"/>
      <c r="Z185" s="19"/>
      <c r="AA185"/>
      <c r="AB185"/>
    </row>
    <row r="186" spans="1:28" s="1" customFormat="1" x14ac:dyDescent="0.25">
      <c r="A186" s="101"/>
      <c r="B186" s="102"/>
      <c r="C186" s="103"/>
      <c r="D186" s="103"/>
      <c r="E186" s="103"/>
      <c r="F186" s="103"/>
      <c r="G186" s="103"/>
      <c r="H186" s="103"/>
      <c r="I186" s="103"/>
      <c r="J186" s="104"/>
      <c r="K186" s="103"/>
      <c r="L186" s="103"/>
      <c r="M186" s="103"/>
      <c r="N186" s="103"/>
      <c r="O186" s="104"/>
      <c r="P186" s="104"/>
      <c r="Q186" s="103"/>
      <c r="R186" s="103"/>
      <c r="S186" s="103"/>
      <c r="T186" s="104"/>
      <c r="U186" s="104"/>
      <c r="V186" s="76"/>
      <c r="W186" s="21"/>
      <c r="Y186" s="19"/>
      <c r="Z186" s="19"/>
      <c r="AA186"/>
      <c r="AB186"/>
    </row>
    <row r="187" spans="1:28" s="1" customFormat="1" x14ac:dyDescent="0.25">
      <c r="A187" s="101"/>
      <c r="B187" s="102"/>
      <c r="C187" s="103"/>
      <c r="D187" s="103"/>
      <c r="E187" s="103"/>
      <c r="F187" s="103"/>
      <c r="G187" s="103"/>
      <c r="H187" s="103"/>
      <c r="I187" s="103"/>
      <c r="J187" s="104"/>
      <c r="K187" s="103"/>
      <c r="L187" s="103"/>
      <c r="M187" s="103"/>
      <c r="N187" s="103"/>
      <c r="O187" s="104"/>
      <c r="P187" s="104"/>
      <c r="Q187" s="103"/>
      <c r="R187" s="103"/>
      <c r="S187" s="103"/>
      <c r="T187" s="104"/>
      <c r="U187" s="104"/>
      <c r="V187" s="76"/>
      <c r="W187" s="21"/>
      <c r="Y187" s="19"/>
      <c r="Z187" s="19"/>
      <c r="AA187"/>
      <c r="AB187"/>
    </row>
    <row r="188" spans="1:28" s="1" customFormat="1" x14ac:dyDescent="0.25">
      <c r="A188" s="101"/>
      <c r="B188" s="102"/>
      <c r="C188" s="103"/>
      <c r="D188" s="103"/>
      <c r="E188" s="103"/>
      <c r="F188" s="103"/>
      <c r="G188" s="103"/>
      <c r="H188" s="103"/>
      <c r="I188" s="103"/>
      <c r="J188" s="104"/>
      <c r="K188" s="103"/>
      <c r="L188" s="103"/>
      <c r="M188" s="103"/>
      <c r="N188" s="103"/>
      <c r="O188" s="104"/>
      <c r="P188" s="104"/>
      <c r="Q188" s="103"/>
      <c r="R188" s="103"/>
      <c r="S188" s="103"/>
      <c r="T188" s="104"/>
      <c r="U188" s="104"/>
      <c r="V188" s="76"/>
      <c r="W188" s="21"/>
      <c r="Y188" s="19"/>
      <c r="Z188" s="19"/>
      <c r="AA188"/>
      <c r="AB188"/>
    </row>
    <row r="189" spans="1:28" s="1" customFormat="1" x14ac:dyDescent="0.25">
      <c r="A189" s="101"/>
      <c r="B189" s="102"/>
      <c r="C189" s="103"/>
      <c r="D189" s="103"/>
      <c r="E189" s="103"/>
      <c r="F189" s="103"/>
      <c r="G189" s="103"/>
      <c r="H189" s="103"/>
      <c r="I189" s="103"/>
      <c r="J189" s="104"/>
      <c r="K189" s="103"/>
      <c r="L189" s="103"/>
      <c r="M189" s="103"/>
      <c r="N189" s="103"/>
      <c r="O189" s="104"/>
      <c r="P189" s="104"/>
      <c r="Q189" s="103"/>
      <c r="R189" s="103"/>
      <c r="S189" s="103"/>
      <c r="T189" s="104"/>
      <c r="U189" s="104"/>
      <c r="V189" s="76"/>
      <c r="W189" s="21"/>
      <c r="Y189" s="19"/>
      <c r="Z189" s="19"/>
      <c r="AA189"/>
      <c r="AB189"/>
    </row>
    <row r="190" spans="1:28" s="1" customFormat="1" x14ac:dyDescent="0.25">
      <c r="A190" s="101"/>
      <c r="B190" s="102"/>
      <c r="C190" s="103"/>
      <c r="D190" s="103"/>
      <c r="E190" s="103"/>
      <c r="F190" s="103"/>
      <c r="G190" s="103"/>
      <c r="H190" s="103"/>
      <c r="I190" s="103"/>
      <c r="J190" s="104"/>
      <c r="K190" s="103"/>
      <c r="L190" s="103"/>
      <c r="M190" s="103"/>
      <c r="N190" s="103"/>
      <c r="O190" s="104"/>
      <c r="P190" s="104"/>
      <c r="Q190" s="103"/>
      <c r="R190" s="103"/>
      <c r="S190" s="103"/>
      <c r="T190" s="104"/>
      <c r="U190" s="104"/>
      <c r="V190" s="76"/>
      <c r="W190" s="21"/>
      <c r="Y190" s="19"/>
      <c r="Z190" s="19"/>
      <c r="AA190"/>
      <c r="AB190"/>
    </row>
    <row r="191" spans="1:28" s="1" customFormat="1" x14ac:dyDescent="0.25">
      <c r="A191" s="101"/>
      <c r="B191" s="102"/>
      <c r="C191" s="103"/>
      <c r="D191" s="103"/>
      <c r="E191" s="103"/>
      <c r="F191" s="103"/>
      <c r="G191" s="103"/>
      <c r="H191" s="103"/>
      <c r="I191" s="103"/>
      <c r="J191" s="104"/>
      <c r="K191" s="103"/>
      <c r="L191" s="103"/>
      <c r="M191" s="103"/>
      <c r="N191" s="103"/>
      <c r="O191" s="104"/>
      <c r="P191" s="104"/>
      <c r="Q191" s="103"/>
      <c r="R191" s="103"/>
      <c r="S191" s="103"/>
      <c r="T191" s="104"/>
      <c r="U191" s="104"/>
      <c r="V191" s="76"/>
      <c r="W191" s="21"/>
      <c r="Y191" s="19"/>
      <c r="Z191" s="19"/>
      <c r="AA191"/>
      <c r="AB191"/>
    </row>
    <row r="192" spans="1:28" s="1" customFormat="1" x14ac:dyDescent="0.25">
      <c r="A192" s="101"/>
      <c r="B192" s="102"/>
      <c r="C192" s="103"/>
      <c r="D192" s="103"/>
      <c r="E192" s="103"/>
      <c r="F192" s="103"/>
      <c r="G192" s="103"/>
      <c r="H192" s="103"/>
      <c r="I192" s="103"/>
      <c r="J192" s="104"/>
      <c r="K192" s="103"/>
      <c r="L192" s="103"/>
      <c r="M192" s="103"/>
      <c r="N192" s="103"/>
      <c r="O192" s="104"/>
      <c r="P192" s="104"/>
      <c r="Q192" s="103"/>
      <c r="R192" s="103"/>
      <c r="S192" s="103"/>
      <c r="T192" s="104"/>
      <c r="U192" s="104"/>
      <c r="V192" s="76"/>
      <c r="W192" s="21"/>
      <c r="Y192" s="19"/>
      <c r="Z192" s="19"/>
      <c r="AA192"/>
      <c r="AB192"/>
    </row>
    <row r="193" spans="1:28" s="1" customFormat="1" x14ac:dyDescent="0.25">
      <c r="A193" s="101"/>
      <c r="B193" s="102"/>
      <c r="C193" s="103"/>
      <c r="D193" s="103"/>
      <c r="E193" s="103"/>
      <c r="F193" s="103"/>
      <c r="G193" s="103"/>
      <c r="H193" s="103"/>
      <c r="I193" s="103"/>
      <c r="J193" s="104"/>
      <c r="K193" s="103"/>
      <c r="L193" s="103"/>
      <c r="M193" s="103"/>
      <c r="N193" s="103"/>
      <c r="O193" s="104"/>
      <c r="P193" s="104"/>
      <c r="Q193" s="103"/>
      <c r="R193" s="103"/>
      <c r="S193" s="103"/>
      <c r="T193" s="104"/>
      <c r="U193" s="104"/>
      <c r="V193" s="76"/>
      <c r="W193" s="21"/>
      <c r="Y193" s="19"/>
      <c r="Z193" s="19"/>
      <c r="AA193"/>
      <c r="AB193"/>
    </row>
    <row r="194" spans="1:28" s="1" customFormat="1" x14ac:dyDescent="0.25">
      <c r="A194" s="101"/>
      <c r="B194" s="102"/>
      <c r="C194" s="103"/>
      <c r="D194" s="103"/>
      <c r="E194" s="103"/>
      <c r="F194" s="103"/>
      <c r="G194" s="103"/>
      <c r="H194" s="103"/>
      <c r="I194" s="103"/>
      <c r="J194" s="104"/>
      <c r="K194" s="103"/>
      <c r="L194" s="103"/>
      <c r="M194" s="103"/>
      <c r="N194" s="103"/>
      <c r="O194" s="104"/>
      <c r="P194" s="104"/>
      <c r="Q194" s="103"/>
      <c r="R194" s="103"/>
      <c r="S194" s="103"/>
      <c r="T194" s="104"/>
      <c r="U194" s="104"/>
      <c r="V194" s="76"/>
      <c r="W194" s="21"/>
      <c r="Y194" s="19"/>
      <c r="Z194" s="19"/>
      <c r="AA194"/>
      <c r="AB194"/>
    </row>
    <row r="195" spans="1:28" s="1" customFormat="1" x14ac:dyDescent="0.25">
      <c r="A195" s="101"/>
      <c r="B195" s="102"/>
      <c r="C195" s="103"/>
      <c r="D195" s="103"/>
      <c r="E195" s="103"/>
      <c r="F195" s="103"/>
      <c r="G195" s="103"/>
      <c r="H195" s="103"/>
      <c r="I195" s="103"/>
      <c r="J195" s="104"/>
      <c r="K195" s="103"/>
      <c r="L195" s="103"/>
      <c r="M195" s="103"/>
      <c r="N195" s="103"/>
      <c r="O195" s="104"/>
      <c r="P195" s="104"/>
      <c r="Q195" s="103"/>
      <c r="R195" s="103"/>
      <c r="S195" s="103"/>
      <c r="T195" s="104"/>
      <c r="U195" s="104"/>
      <c r="V195" s="76"/>
      <c r="W195" s="21"/>
      <c r="Y195" s="19"/>
      <c r="Z195" s="19"/>
      <c r="AA195"/>
      <c r="AB195"/>
    </row>
    <row r="196" spans="1:28" s="1" customFormat="1" x14ac:dyDescent="0.25">
      <c r="A196" s="101"/>
      <c r="B196" s="102"/>
      <c r="C196" s="103"/>
      <c r="D196" s="103"/>
      <c r="E196" s="103"/>
      <c r="F196" s="103"/>
      <c r="G196" s="103"/>
      <c r="H196" s="103"/>
      <c r="I196" s="103"/>
      <c r="J196" s="104"/>
      <c r="K196" s="103"/>
      <c r="L196" s="103"/>
      <c r="M196" s="103"/>
      <c r="N196" s="103"/>
      <c r="O196" s="104"/>
      <c r="P196" s="104"/>
      <c r="Q196" s="103"/>
      <c r="R196" s="103"/>
      <c r="S196" s="103"/>
      <c r="T196" s="104"/>
      <c r="U196" s="104"/>
      <c r="V196" s="76"/>
      <c r="W196" s="21"/>
      <c r="Y196" s="19"/>
      <c r="Z196" s="19"/>
      <c r="AA196"/>
      <c r="AB196"/>
    </row>
    <row r="197" spans="1:28" s="1" customFormat="1" x14ac:dyDescent="0.25">
      <c r="A197" s="101"/>
      <c r="B197" s="102"/>
      <c r="C197" s="103"/>
      <c r="D197" s="103"/>
      <c r="E197" s="103"/>
      <c r="F197" s="103"/>
      <c r="G197" s="103"/>
      <c r="H197" s="103"/>
      <c r="I197" s="103"/>
      <c r="J197" s="104"/>
      <c r="K197" s="103"/>
      <c r="L197" s="103"/>
      <c r="M197" s="103"/>
      <c r="N197" s="103"/>
      <c r="O197" s="104"/>
      <c r="P197" s="104"/>
      <c r="Q197" s="103"/>
      <c r="R197" s="103"/>
      <c r="S197" s="103"/>
      <c r="T197" s="104"/>
      <c r="U197" s="104"/>
      <c r="V197" s="76"/>
      <c r="W197" s="21"/>
      <c r="Y197" s="19"/>
      <c r="Z197" s="19"/>
      <c r="AA197"/>
      <c r="AB197"/>
    </row>
    <row r="198" spans="1:28" s="1" customFormat="1" x14ac:dyDescent="0.25">
      <c r="A198" s="101"/>
      <c r="B198" s="102"/>
      <c r="C198" s="103"/>
      <c r="D198" s="103"/>
      <c r="E198" s="103"/>
      <c r="F198" s="103"/>
      <c r="G198" s="103"/>
      <c r="H198" s="103"/>
      <c r="I198" s="103"/>
      <c r="J198" s="104"/>
      <c r="K198" s="103"/>
      <c r="L198" s="103"/>
      <c r="M198" s="103"/>
      <c r="N198" s="103"/>
      <c r="O198" s="104"/>
      <c r="P198" s="104"/>
      <c r="Q198" s="103"/>
      <c r="R198" s="103"/>
      <c r="S198" s="103"/>
      <c r="T198" s="104"/>
      <c r="U198" s="104"/>
      <c r="V198" s="76"/>
      <c r="W198" s="21"/>
      <c r="Y198" s="19"/>
      <c r="Z198" s="19"/>
      <c r="AA198"/>
      <c r="AB198"/>
    </row>
    <row r="199" spans="1:28" s="1" customFormat="1" x14ac:dyDescent="0.25">
      <c r="A199" s="101"/>
      <c r="B199" s="102"/>
      <c r="C199" s="103"/>
      <c r="D199" s="103"/>
      <c r="E199" s="103"/>
      <c r="F199" s="103"/>
      <c r="G199" s="103"/>
      <c r="H199" s="103"/>
      <c r="I199" s="103"/>
      <c r="J199" s="104"/>
      <c r="K199" s="103"/>
      <c r="L199" s="103"/>
      <c r="M199" s="103"/>
      <c r="N199" s="103"/>
      <c r="O199" s="104"/>
      <c r="P199" s="104"/>
      <c r="Q199" s="103"/>
      <c r="R199" s="103"/>
      <c r="S199" s="103"/>
      <c r="T199" s="104"/>
      <c r="U199" s="104"/>
      <c r="V199" s="76"/>
      <c r="W199" s="21"/>
      <c r="Y199" s="19"/>
      <c r="Z199" s="19"/>
      <c r="AA199"/>
      <c r="AB199"/>
    </row>
    <row r="200" spans="1:28" s="1" customFormat="1" x14ac:dyDescent="0.25">
      <c r="A200" s="101"/>
      <c r="B200" s="102"/>
      <c r="C200" s="103"/>
      <c r="D200" s="103"/>
      <c r="E200" s="103"/>
      <c r="F200" s="103"/>
      <c r="G200" s="103"/>
      <c r="H200" s="103"/>
      <c r="I200" s="103"/>
      <c r="J200" s="104"/>
      <c r="K200" s="103"/>
      <c r="L200" s="103"/>
      <c r="M200" s="103"/>
      <c r="N200" s="103"/>
      <c r="O200" s="104"/>
      <c r="P200" s="104"/>
      <c r="Q200" s="103"/>
      <c r="R200" s="103"/>
      <c r="S200" s="103"/>
      <c r="T200" s="104"/>
      <c r="U200" s="104"/>
      <c r="V200" s="76"/>
      <c r="W200" s="21"/>
      <c r="Y200" s="19"/>
      <c r="Z200" s="19"/>
      <c r="AA200"/>
      <c r="AB200"/>
    </row>
    <row r="201" spans="1:28" s="1" customFormat="1" x14ac:dyDescent="0.25">
      <c r="A201" s="101"/>
      <c r="B201" s="102"/>
      <c r="C201" s="103"/>
      <c r="D201" s="103"/>
      <c r="E201" s="103"/>
      <c r="F201" s="103"/>
      <c r="G201" s="103"/>
      <c r="H201" s="103"/>
      <c r="I201" s="103"/>
      <c r="J201" s="104"/>
      <c r="K201" s="103"/>
      <c r="L201" s="103"/>
      <c r="M201" s="103"/>
      <c r="N201" s="103"/>
      <c r="O201" s="104"/>
      <c r="P201" s="104"/>
      <c r="Q201" s="103"/>
      <c r="R201" s="103"/>
      <c r="S201" s="103"/>
      <c r="T201" s="104"/>
      <c r="U201" s="104"/>
      <c r="V201" s="76"/>
      <c r="W201" s="21"/>
      <c r="Y201" s="19"/>
      <c r="Z201" s="19"/>
      <c r="AA201"/>
      <c r="AB201"/>
    </row>
    <row r="202" spans="1:28" s="1" customFormat="1" x14ac:dyDescent="0.25">
      <c r="A202" s="101"/>
      <c r="B202" s="102"/>
      <c r="C202" s="103"/>
      <c r="D202" s="103"/>
      <c r="E202" s="103"/>
      <c r="F202" s="103"/>
      <c r="G202" s="103"/>
      <c r="H202" s="103"/>
      <c r="I202" s="103"/>
      <c r="J202" s="104"/>
      <c r="K202" s="103"/>
      <c r="L202" s="103"/>
      <c r="M202" s="103"/>
      <c r="N202" s="103"/>
      <c r="O202" s="104"/>
      <c r="P202" s="104"/>
      <c r="Q202" s="103"/>
      <c r="R202" s="103"/>
      <c r="S202" s="103"/>
      <c r="T202" s="104"/>
      <c r="U202" s="104"/>
      <c r="V202" s="76"/>
      <c r="W202" s="21"/>
      <c r="Y202" s="19"/>
      <c r="Z202" s="19"/>
      <c r="AA202"/>
      <c r="AB202"/>
    </row>
    <row r="203" spans="1:28" s="1" customFormat="1" x14ac:dyDescent="0.25">
      <c r="A203" s="101"/>
      <c r="B203" s="102"/>
      <c r="C203" s="103"/>
      <c r="D203" s="103"/>
      <c r="E203" s="103"/>
      <c r="F203" s="103"/>
      <c r="G203" s="103"/>
      <c r="H203" s="103"/>
      <c r="I203" s="103"/>
      <c r="J203" s="104"/>
      <c r="K203" s="103"/>
      <c r="L203" s="103"/>
      <c r="M203" s="103"/>
      <c r="N203" s="103"/>
      <c r="O203" s="104"/>
      <c r="P203" s="104"/>
      <c r="Q203" s="103"/>
      <c r="R203" s="103"/>
      <c r="S203" s="103"/>
      <c r="T203" s="104"/>
      <c r="U203" s="104"/>
      <c r="V203" s="76"/>
      <c r="W203" s="21"/>
      <c r="Y203" s="19"/>
      <c r="Z203" s="19"/>
      <c r="AA203"/>
      <c r="AB203"/>
    </row>
    <row r="204" spans="1:28" s="1" customFormat="1" x14ac:dyDescent="0.25">
      <c r="A204" s="101"/>
      <c r="B204" s="102"/>
      <c r="C204" s="103"/>
      <c r="D204" s="103"/>
      <c r="E204" s="103"/>
      <c r="F204" s="103"/>
      <c r="G204" s="103"/>
      <c r="H204" s="103"/>
      <c r="I204" s="103"/>
      <c r="J204" s="104"/>
      <c r="K204" s="103"/>
      <c r="L204" s="103"/>
      <c r="M204" s="103"/>
      <c r="N204" s="103"/>
      <c r="O204" s="104"/>
      <c r="P204" s="104"/>
      <c r="Q204" s="103"/>
      <c r="R204" s="103"/>
      <c r="S204" s="103"/>
      <c r="T204" s="104"/>
      <c r="U204" s="104"/>
      <c r="V204" s="76"/>
      <c r="W204" s="21"/>
      <c r="Y204" s="19"/>
      <c r="Z204" s="19"/>
      <c r="AA204"/>
      <c r="AB204"/>
    </row>
    <row r="205" spans="1:28" s="1" customFormat="1" x14ac:dyDescent="0.25">
      <c r="A205" s="101"/>
      <c r="B205" s="102"/>
      <c r="C205" s="103"/>
      <c r="D205" s="103"/>
      <c r="E205" s="103"/>
      <c r="F205" s="103"/>
      <c r="G205" s="103"/>
      <c r="H205" s="103"/>
      <c r="I205" s="103"/>
      <c r="J205" s="104"/>
      <c r="K205" s="103"/>
      <c r="L205" s="103"/>
      <c r="M205" s="103"/>
      <c r="N205" s="103"/>
      <c r="O205" s="104"/>
      <c r="P205" s="104"/>
      <c r="Q205" s="103"/>
      <c r="R205" s="103"/>
      <c r="S205" s="103"/>
      <c r="T205" s="104"/>
      <c r="U205" s="104"/>
      <c r="V205" s="76"/>
      <c r="W205" s="21"/>
      <c r="Y205" s="19"/>
      <c r="Z205" s="19"/>
      <c r="AA205"/>
      <c r="AB205"/>
    </row>
    <row r="206" spans="1:28" s="1" customFormat="1" x14ac:dyDescent="0.25">
      <c r="A206" s="101"/>
      <c r="B206" s="102"/>
      <c r="C206" s="103"/>
      <c r="D206" s="103"/>
      <c r="E206" s="103"/>
      <c r="F206" s="103"/>
      <c r="G206" s="103"/>
      <c r="H206" s="103"/>
      <c r="I206" s="103"/>
      <c r="J206" s="104"/>
      <c r="K206" s="103"/>
      <c r="L206" s="103"/>
      <c r="M206" s="103"/>
      <c r="N206" s="103"/>
      <c r="O206" s="104"/>
      <c r="P206" s="104"/>
      <c r="Q206" s="103"/>
      <c r="R206" s="103"/>
      <c r="S206" s="103"/>
      <c r="T206" s="104"/>
      <c r="U206" s="104"/>
      <c r="V206" s="76"/>
      <c r="W206" s="21"/>
      <c r="Y206" s="19"/>
      <c r="Z206" s="19"/>
      <c r="AA206"/>
      <c r="AB206"/>
    </row>
    <row r="207" spans="1:28" s="1" customFormat="1" x14ac:dyDescent="0.25">
      <c r="A207" s="101"/>
      <c r="B207" s="102"/>
      <c r="C207" s="103"/>
      <c r="D207" s="103"/>
      <c r="E207" s="103"/>
      <c r="F207" s="103"/>
      <c r="G207" s="103"/>
      <c r="H207" s="103"/>
      <c r="I207" s="103"/>
      <c r="J207" s="104"/>
      <c r="K207" s="103"/>
      <c r="L207" s="103"/>
      <c r="M207" s="103"/>
      <c r="N207" s="103"/>
      <c r="O207" s="104"/>
      <c r="P207" s="104"/>
      <c r="Q207" s="103"/>
      <c r="R207" s="103"/>
      <c r="S207" s="103"/>
      <c r="T207" s="104"/>
      <c r="U207" s="104"/>
      <c r="V207" s="76"/>
      <c r="W207" s="21"/>
      <c r="Y207" s="19"/>
      <c r="Z207" s="19"/>
      <c r="AA207"/>
      <c r="AB207"/>
    </row>
    <row r="208" spans="1:28" s="1" customFormat="1" x14ac:dyDescent="0.25">
      <c r="A208" s="101"/>
      <c r="B208" s="102"/>
      <c r="C208" s="103"/>
      <c r="D208" s="103"/>
      <c r="E208" s="103"/>
      <c r="F208" s="103"/>
      <c r="G208" s="103"/>
      <c r="H208" s="103"/>
      <c r="I208" s="103"/>
      <c r="J208" s="104"/>
      <c r="K208" s="103"/>
      <c r="L208" s="103"/>
      <c r="M208" s="103"/>
      <c r="N208" s="103"/>
      <c r="O208" s="104"/>
      <c r="P208" s="104"/>
      <c r="Q208" s="103"/>
      <c r="R208" s="103"/>
      <c r="S208" s="103"/>
      <c r="T208" s="104"/>
      <c r="U208" s="104"/>
      <c r="V208" s="76"/>
      <c r="W208" s="21"/>
      <c r="Y208" s="19"/>
      <c r="Z208" s="19"/>
      <c r="AA208"/>
      <c r="AB208"/>
    </row>
    <row r="209" spans="1:28" s="1" customFormat="1" x14ac:dyDescent="0.25">
      <c r="A209" s="101"/>
      <c r="B209" s="102"/>
      <c r="C209" s="103"/>
      <c r="D209" s="103"/>
      <c r="E209" s="103"/>
      <c r="F209" s="103"/>
      <c r="G209" s="103"/>
      <c r="H209" s="103"/>
      <c r="I209" s="103"/>
      <c r="J209" s="104"/>
      <c r="K209" s="103"/>
      <c r="L209" s="103"/>
      <c r="M209" s="103"/>
      <c r="N209" s="103"/>
      <c r="O209" s="104"/>
      <c r="P209" s="104"/>
      <c r="Q209" s="103"/>
      <c r="R209" s="103"/>
      <c r="S209" s="103"/>
      <c r="T209" s="104"/>
      <c r="U209" s="104"/>
      <c r="V209" s="76"/>
      <c r="W209" s="21"/>
      <c r="Y209" s="19"/>
      <c r="Z209" s="19"/>
      <c r="AA209"/>
      <c r="AB209"/>
    </row>
    <row r="210" spans="1:28" s="1" customFormat="1" x14ac:dyDescent="0.25">
      <c r="A210" s="101"/>
      <c r="B210" s="102"/>
      <c r="C210" s="103"/>
      <c r="D210" s="103"/>
      <c r="E210" s="103"/>
      <c r="F210" s="103"/>
      <c r="G210" s="103"/>
      <c r="H210" s="103"/>
      <c r="I210" s="103"/>
      <c r="J210" s="104"/>
      <c r="K210" s="103"/>
      <c r="L210" s="103"/>
      <c r="M210" s="103"/>
      <c r="N210" s="103"/>
      <c r="O210" s="104"/>
      <c r="P210" s="104"/>
      <c r="Q210" s="103"/>
      <c r="R210" s="103"/>
      <c r="S210" s="103"/>
      <c r="T210" s="104"/>
      <c r="U210" s="104"/>
      <c r="V210" s="76"/>
      <c r="W210" s="21"/>
      <c r="Y210" s="19"/>
      <c r="Z210" s="19"/>
      <c r="AA210"/>
      <c r="AB210"/>
    </row>
    <row r="211" spans="1:28" s="1" customFormat="1" x14ac:dyDescent="0.25">
      <c r="A211" s="101"/>
      <c r="B211" s="102"/>
      <c r="C211" s="103"/>
      <c r="D211" s="103"/>
      <c r="E211" s="103"/>
      <c r="F211" s="103"/>
      <c r="G211" s="103"/>
      <c r="H211" s="103"/>
      <c r="I211" s="103"/>
      <c r="J211" s="104"/>
      <c r="K211" s="103"/>
      <c r="L211" s="103"/>
      <c r="M211" s="103"/>
      <c r="N211" s="103"/>
      <c r="O211" s="104"/>
      <c r="P211" s="104"/>
      <c r="Q211" s="103"/>
      <c r="R211" s="103"/>
      <c r="S211" s="103"/>
      <c r="T211" s="104"/>
      <c r="U211" s="104"/>
      <c r="V211" s="76"/>
      <c r="W211" s="21"/>
      <c r="Y211" s="19"/>
      <c r="Z211" s="19"/>
      <c r="AA211"/>
      <c r="AB211"/>
    </row>
    <row r="212" spans="1:28" s="1" customFormat="1" x14ac:dyDescent="0.25">
      <c r="A212" s="101"/>
      <c r="B212" s="102"/>
      <c r="C212" s="103"/>
      <c r="D212" s="103"/>
      <c r="E212" s="103"/>
      <c r="F212" s="103"/>
      <c r="G212" s="103"/>
      <c r="H212" s="103"/>
      <c r="I212" s="103"/>
      <c r="J212" s="104"/>
      <c r="K212" s="103"/>
      <c r="L212" s="103"/>
      <c r="M212" s="103"/>
      <c r="N212" s="103"/>
      <c r="O212" s="104"/>
      <c r="P212" s="104"/>
      <c r="Q212" s="103"/>
      <c r="R212" s="103"/>
      <c r="S212" s="103"/>
      <c r="T212" s="104"/>
      <c r="U212" s="104"/>
      <c r="V212" s="76"/>
      <c r="W212" s="21"/>
      <c r="Y212" s="19"/>
      <c r="Z212" s="19"/>
      <c r="AA212"/>
      <c r="AB212"/>
    </row>
    <row r="213" spans="1:28" s="1" customFormat="1" x14ac:dyDescent="0.25">
      <c r="A213" s="101"/>
      <c r="B213" s="102"/>
      <c r="C213" s="103"/>
      <c r="D213" s="103"/>
      <c r="E213" s="103"/>
      <c r="F213" s="103"/>
      <c r="G213" s="103"/>
      <c r="H213" s="103"/>
      <c r="I213" s="103"/>
      <c r="J213" s="104"/>
      <c r="K213" s="103"/>
      <c r="L213" s="103"/>
      <c r="M213" s="103"/>
      <c r="N213" s="103"/>
      <c r="O213" s="104"/>
      <c r="P213" s="104"/>
      <c r="Q213" s="103"/>
      <c r="R213" s="103"/>
      <c r="S213" s="103"/>
      <c r="T213" s="104"/>
      <c r="U213" s="104"/>
      <c r="V213" s="76"/>
      <c r="W213" s="21"/>
      <c r="Y213" s="19"/>
      <c r="Z213" s="19"/>
      <c r="AA213"/>
      <c r="AB213"/>
    </row>
    <row r="214" spans="1:28" s="1" customFormat="1" x14ac:dyDescent="0.25">
      <c r="A214" s="101"/>
      <c r="B214" s="102"/>
      <c r="C214" s="103"/>
      <c r="D214" s="103"/>
      <c r="E214" s="103"/>
      <c r="F214" s="103"/>
      <c r="G214" s="103"/>
      <c r="H214" s="103"/>
      <c r="I214" s="103"/>
      <c r="J214" s="104"/>
      <c r="K214" s="103"/>
      <c r="L214" s="103"/>
      <c r="M214" s="103"/>
      <c r="N214" s="103"/>
      <c r="O214" s="104"/>
      <c r="P214" s="104"/>
      <c r="Q214" s="103"/>
      <c r="R214" s="103"/>
      <c r="S214" s="103"/>
      <c r="T214" s="104"/>
      <c r="U214" s="104"/>
      <c r="V214" s="76"/>
      <c r="W214" s="21"/>
      <c r="Y214" s="19"/>
      <c r="Z214" s="19"/>
      <c r="AA214"/>
      <c r="AB214"/>
    </row>
    <row r="215" spans="1:28" s="1" customFormat="1" x14ac:dyDescent="0.25">
      <c r="A215" s="101"/>
      <c r="B215" s="102"/>
      <c r="C215" s="103"/>
      <c r="D215" s="103"/>
      <c r="E215" s="103"/>
      <c r="F215" s="103"/>
      <c r="G215" s="103"/>
      <c r="H215" s="103"/>
      <c r="I215" s="103"/>
      <c r="J215" s="104"/>
      <c r="K215" s="103"/>
      <c r="L215" s="103"/>
      <c r="M215" s="103"/>
      <c r="N215" s="103"/>
      <c r="O215" s="104"/>
      <c r="P215" s="104"/>
      <c r="Q215" s="103"/>
      <c r="R215" s="103"/>
      <c r="S215" s="103"/>
      <c r="T215" s="104"/>
      <c r="U215" s="104"/>
      <c r="V215" s="76"/>
      <c r="W215" s="21"/>
      <c r="Y215" s="19"/>
      <c r="Z215" s="19"/>
      <c r="AA215"/>
      <c r="AB215"/>
    </row>
    <row r="216" spans="1:28" s="1" customFormat="1" x14ac:dyDescent="0.25">
      <c r="A216" s="101"/>
      <c r="B216" s="102"/>
      <c r="C216" s="103"/>
      <c r="D216" s="103"/>
      <c r="E216" s="103"/>
      <c r="F216" s="103"/>
      <c r="G216" s="103"/>
      <c r="H216" s="103"/>
      <c r="I216" s="103"/>
      <c r="J216" s="104"/>
      <c r="K216" s="103"/>
      <c r="L216" s="103"/>
      <c r="M216" s="103"/>
      <c r="N216" s="103"/>
      <c r="O216" s="104"/>
      <c r="P216" s="104"/>
      <c r="Q216" s="103"/>
      <c r="R216" s="103"/>
      <c r="S216" s="103"/>
      <c r="T216" s="104"/>
      <c r="U216" s="104"/>
      <c r="V216" s="76"/>
      <c r="W216" s="21"/>
      <c r="Y216" s="19"/>
      <c r="Z216" s="19"/>
      <c r="AA216"/>
      <c r="AB216"/>
    </row>
    <row r="217" spans="1:28" s="1" customFormat="1" x14ac:dyDescent="0.25">
      <c r="A217" s="101"/>
      <c r="B217" s="102"/>
      <c r="C217" s="103"/>
      <c r="D217" s="103"/>
      <c r="E217" s="103"/>
      <c r="F217" s="103"/>
      <c r="G217" s="103"/>
      <c r="H217" s="103"/>
      <c r="I217" s="103"/>
      <c r="J217" s="104"/>
      <c r="K217" s="103"/>
      <c r="L217" s="103"/>
      <c r="M217" s="103"/>
      <c r="N217" s="103"/>
      <c r="O217" s="104"/>
      <c r="P217" s="104"/>
      <c r="Q217" s="103"/>
      <c r="R217" s="103"/>
      <c r="S217" s="103"/>
      <c r="T217" s="104"/>
      <c r="U217" s="104"/>
      <c r="V217" s="76"/>
      <c r="W217" s="21"/>
      <c r="Y217" s="19"/>
      <c r="Z217" s="19"/>
      <c r="AA217"/>
      <c r="AB217"/>
    </row>
    <row r="218" spans="1:28" s="1" customFormat="1" x14ac:dyDescent="0.25">
      <c r="A218" s="101"/>
      <c r="B218" s="102"/>
      <c r="C218" s="103"/>
      <c r="D218" s="103"/>
      <c r="E218" s="103"/>
      <c r="F218" s="103"/>
      <c r="G218" s="103"/>
      <c r="H218" s="103"/>
      <c r="I218" s="103"/>
      <c r="J218" s="104"/>
      <c r="K218" s="103"/>
      <c r="L218" s="103"/>
      <c r="M218" s="103"/>
      <c r="N218" s="103"/>
      <c r="O218" s="104"/>
      <c r="P218" s="104"/>
      <c r="Q218" s="103"/>
      <c r="R218" s="103"/>
      <c r="S218" s="103"/>
      <c r="T218" s="104"/>
      <c r="U218" s="104"/>
      <c r="V218" s="76"/>
      <c r="W218" s="21"/>
      <c r="Y218" s="19"/>
      <c r="Z218" s="19"/>
      <c r="AA218"/>
      <c r="AB218"/>
    </row>
    <row r="219" spans="1:28" s="1" customFormat="1" x14ac:dyDescent="0.25">
      <c r="A219" s="101"/>
      <c r="B219" s="102"/>
      <c r="C219" s="103"/>
      <c r="D219" s="103"/>
      <c r="E219" s="103"/>
      <c r="F219" s="103"/>
      <c r="G219" s="103"/>
      <c r="H219" s="103"/>
      <c r="I219" s="103"/>
      <c r="J219" s="104"/>
      <c r="K219" s="103"/>
      <c r="L219" s="103"/>
      <c r="M219" s="103"/>
      <c r="N219" s="103"/>
      <c r="O219" s="104"/>
      <c r="P219" s="104"/>
      <c r="Q219" s="103"/>
      <c r="R219" s="103"/>
      <c r="S219" s="103"/>
      <c r="T219" s="104"/>
      <c r="U219" s="104"/>
      <c r="V219" s="76"/>
      <c r="W219" s="21"/>
      <c r="Y219" s="19"/>
      <c r="Z219" s="19"/>
      <c r="AA219"/>
      <c r="AB219"/>
    </row>
    <row r="220" spans="1:28" s="1" customFormat="1" x14ac:dyDescent="0.25">
      <c r="A220" s="101"/>
      <c r="B220" s="102"/>
      <c r="C220" s="103"/>
      <c r="D220" s="103"/>
      <c r="E220" s="103"/>
      <c r="F220" s="103"/>
      <c r="G220" s="103"/>
      <c r="H220" s="103"/>
      <c r="I220" s="103"/>
      <c r="J220" s="104"/>
      <c r="K220" s="103"/>
      <c r="L220" s="103"/>
      <c r="M220" s="103"/>
      <c r="N220" s="103"/>
      <c r="O220" s="104"/>
      <c r="P220" s="104"/>
      <c r="Q220" s="103"/>
      <c r="R220" s="103"/>
      <c r="S220" s="103"/>
      <c r="T220" s="104"/>
      <c r="U220" s="104"/>
      <c r="V220" s="76"/>
      <c r="W220" s="21"/>
      <c r="Y220" s="19"/>
      <c r="Z220" s="19"/>
      <c r="AA220"/>
      <c r="AB220"/>
    </row>
    <row r="221" spans="1:28" s="1" customFormat="1" x14ac:dyDescent="0.25">
      <c r="A221" s="101"/>
      <c r="B221" s="102"/>
      <c r="C221" s="103"/>
      <c r="D221" s="103"/>
      <c r="E221" s="103"/>
      <c r="F221" s="103"/>
      <c r="G221" s="103"/>
      <c r="H221" s="103"/>
      <c r="I221" s="103"/>
      <c r="J221" s="104"/>
      <c r="K221" s="103"/>
      <c r="L221" s="103"/>
      <c r="M221" s="103"/>
      <c r="N221" s="103"/>
      <c r="O221" s="104"/>
      <c r="P221" s="104"/>
      <c r="Q221" s="103"/>
      <c r="R221" s="103"/>
      <c r="S221" s="103"/>
      <c r="T221" s="104"/>
      <c r="U221" s="104"/>
      <c r="V221" s="76"/>
      <c r="W221" s="21"/>
      <c r="Y221" s="19"/>
      <c r="Z221" s="19"/>
      <c r="AA221"/>
      <c r="AB221"/>
    </row>
    <row r="222" spans="1:28" s="1" customFormat="1" x14ac:dyDescent="0.25">
      <c r="A222" s="101"/>
      <c r="B222" s="102"/>
      <c r="C222" s="103"/>
      <c r="D222" s="103"/>
      <c r="E222" s="103"/>
      <c r="F222" s="103"/>
      <c r="G222" s="103"/>
      <c r="H222" s="103"/>
      <c r="I222" s="103"/>
      <c r="J222" s="104"/>
      <c r="K222" s="103"/>
      <c r="L222" s="103"/>
      <c r="M222" s="103"/>
      <c r="N222" s="103"/>
      <c r="O222" s="104"/>
      <c r="P222" s="104"/>
      <c r="Q222" s="103"/>
      <c r="R222" s="103"/>
      <c r="S222" s="103"/>
      <c r="T222" s="104"/>
      <c r="U222" s="104"/>
      <c r="V222" s="76"/>
      <c r="W222" s="21"/>
      <c r="Y222" s="19"/>
      <c r="Z222" s="19"/>
      <c r="AA222"/>
      <c r="AB222"/>
    </row>
    <row r="223" spans="1:28" s="1" customFormat="1" x14ac:dyDescent="0.25">
      <c r="A223" s="101"/>
      <c r="B223" s="102"/>
      <c r="C223" s="103"/>
      <c r="D223" s="103"/>
      <c r="E223" s="103"/>
      <c r="F223" s="103"/>
      <c r="G223" s="103"/>
      <c r="H223" s="103"/>
      <c r="I223" s="103"/>
      <c r="J223" s="104"/>
      <c r="K223" s="103"/>
      <c r="L223" s="103"/>
      <c r="M223" s="103"/>
      <c r="N223" s="103"/>
      <c r="O223" s="104"/>
      <c r="P223" s="104"/>
      <c r="Q223" s="103"/>
      <c r="R223" s="103"/>
      <c r="S223" s="103"/>
      <c r="T223" s="104"/>
      <c r="U223" s="104"/>
      <c r="V223" s="76"/>
      <c r="W223" s="21"/>
      <c r="Y223" s="19"/>
      <c r="Z223" s="19"/>
      <c r="AA223"/>
      <c r="AB223"/>
    </row>
    <row r="224" spans="1:28" s="1" customFormat="1" x14ac:dyDescent="0.25">
      <c r="A224" s="101"/>
      <c r="B224" s="102"/>
      <c r="C224" s="103"/>
      <c r="D224" s="103"/>
      <c r="E224" s="103"/>
      <c r="F224" s="103"/>
      <c r="G224" s="103"/>
      <c r="H224" s="103"/>
      <c r="I224" s="103"/>
      <c r="J224" s="104"/>
      <c r="K224" s="103"/>
      <c r="L224" s="103"/>
      <c r="M224" s="103"/>
      <c r="N224" s="103"/>
      <c r="O224" s="104"/>
      <c r="P224" s="104"/>
      <c r="Q224" s="103"/>
      <c r="R224" s="103"/>
      <c r="S224" s="103"/>
      <c r="T224" s="104"/>
      <c r="U224" s="104"/>
      <c r="V224" s="76"/>
      <c r="W224" s="21"/>
      <c r="Y224" s="19"/>
      <c r="Z224" s="19"/>
      <c r="AA224"/>
      <c r="AB224"/>
    </row>
    <row r="225" spans="1:28" s="1" customFormat="1" x14ac:dyDescent="0.25">
      <c r="A225" s="101"/>
      <c r="B225" s="102"/>
      <c r="C225" s="103"/>
      <c r="D225" s="103"/>
      <c r="E225" s="103"/>
      <c r="F225" s="103"/>
      <c r="G225" s="103"/>
      <c r="H225" s="103"/>
      <c r="I225" s="103"/>
      <c r="J225" s="104"/>
      <c r="K225" s="103"/>
      <c r="L225" s="103"/>
      <c r="M225" s="103"/>
      <c r="N225" s="103"/>
      <c r="O225" s="104"/>
      <c r="P225" s="104"/>
      <c r="Q225" s="103"/>
      <c r="R225" s="103"/>
      <c r="S225" s="103"/>
      <c r="T225" s="104"/>
      <c r="U225" s="104"/>
      <c r="V225" s="76"/>
      <c r="W225" s="21"/>
      <c r="Y225" s="19"/>
      <c r="Z225" s="19"/>
      <c r="AA225"/>
      <c r="AB225"/>
    </row>
    <row r="226" spans="1:28" s="1" customFormat="1" x14ac:dyDescent="0.25">
      <c r="A226" s="101"/>
      <c r="B226" s="102"/>
      <c r="C226" s="103"/>
      <c r="D226" s="103"/>
      <c r="E226" s="103"/>
      <c r="F226" s="103"/>
      <c r="G226" s="103"/>
      <c r="H226" s="103"/>
      <c r="I226" s="103"/>
      <c r="J226" s="104"/>
      <c r="K226" s="103"/>
      <c r="L226" s="103"/>
      <c r="M226" s="103"/>
      <c r="N226" s="103"/>
      <c r="O226" s="104"/>
      <c r="P226" s="104"/>
      <c r="Q226" s="103"/>
      <c r="R226" s="103"/>
      <c r="S226" s="103"/>
      <c r="T226" s="104"/>
      <c r="U226" s="104"/>
      <c r="V226" s="76"/>
      <c r="W226" s="21"/>
      <c r="Y226" s="19"/>
      <c r="Z226" s="19"/>
      <c r="AA226"/>
      <c r="AB226"/>
    </row>
    <row r="227" spans="1:28" s="1" customFormat="1" x14ac:dyDescent="0.25">
      <c r="A227" s="101"/>
      <c r="B227" s="102"/>
      <c r="C227" s="103"/>
      <c r="D227" s="103"/>
      <c r="E227" s="103"/>
      <c r="F227" s="103"/>
      <c r="G227" s="103"/>
      <c r="H227" s="103"/>
      <c r="I227" s="103"/>
      <c r="J227" s="104"/>
      <c r="K227" s="103"/>
      <c r="L227" s="103"/>
      <c r="M227" s="103"/>
      <c r="N227" s="103"/>
      <c r="O227" s="104"/>
      <c r="P227" s="104"/>
      <c r="Q227" s="103"/>
      <c r="R227" s="103"/>
      <c r="S227" s="103"/>
      <c r="T227" s="104"/>
      <c r="U227" s="104"/>
      <c r="V227" s="76"/>
      <c r="W227" s="21"/>
      <c r="Y227" s="19"/>
      <c r="Z227" s="19"/>
      <c r="AA227"/>
      <c r="AB227"/>
    </row>
    <row r="228" spans="1:28" s="1" customFormat="1" x14ac:dyDescent="0.25">
      <c r="A228" s="101"/>
      <c r="B228" s="102"/>
      <c r="C228" s="103"/>
      <c r="D228" s="103"/>
      <c r="E228" s="103"/>
      <c r="F228" s="103"/>
      <c r="G228" s="103"/>
      <c r="H228" s="103"/>
      <c r="I228" s="103"/>
      <c r="J228" s="104"/>
      <c r="K228" s="103"/>
      <c r="L228" s="103"/>
      <c r="M228" s="103"/>
      <c r="N228" s="103"/>
      <c r="O228" s="104"/>
      <c r="P228" s="104"/>
      <c r="Q228" s="103"/>
      <c r="R228" s="103"/>
      <c r="S228" s="103"/>
      <c r="T228" s="104"/>
      <c r="U228" s="104"/>
      <c r="V228" s="76"/>
      <c r="W228" s="21"/>
      <c r="Y228" s="19"/>
      <c r="Z228" s="19"/>
      <c r="AA228"/>
      <c r="AB228"/>
    </row>
    <row r="229" spans="1:28" s="1" customFormat="1" x14ac:dyDescent="0.25">
      <c r="A229" s="101"/>
      <c r="B229" s="102"/>
      <c r="C229" s="103"/>
      <c r="D229" s="103"/>
      <c r="E229" s="103"/>
      <c r="F229" s="103"/>
      <c r="G229" s="103"/>
      <c r="H229" s="103"/>
      <c r="I229" s="103"/>
      <c r="J229" s="104"/>
      <c r="K229" s="103"/>
      <c r="L229" s="103"/>
      <c r="M229" s="103"/>
      <c r="N229" s="103"/>
      <c r="O229" s="104"/>
      <c r="P229" s="104"/>
      <c r="Q229" s="103"/>
      <c r="R229" s="103"/>
      <c r="S229" s="103"/>
      <c r="T229" s="104"/>
      <c r="U229" s="104"/>
      <c r="V229" s="76"/>
      <c r="W229" s="21"/>
      <c r="Y229" s="19"/>
      <c r="Z229" s="19"/>
      <c r="AA229"/>
      <c r="AB229"/>
    </row>
    <row r="230" spans="1:28" s="1" customFormat="1" x14ac:dyDescent="0.25">
      <c r="A230" s="101"/>
      <c r="B230" s="102"/>
      <c r="C230" s="103"/>
      <c r="D230" s="103"/>
      <c r="E230" s="103"/>
      <c r="F230" s="103"/>
      <c r="G230" s="103"/>
      <c r="H230" s="103"/>
      <c r="I230" s="103"/>
      <c r="J230" s="104"/>
      <c r="K230" s="103"/>
      <c r="L230" s="103"/>
      <c r="M230" s="103"/>
      <c r="N230" s="103"/>
      <c r="O230" s="104"/>
      <c r="P230" s="104"/>
      <c r="Q230" s="103"/>
      <c r="R230" s="103"/>
      <c r="S230" s="103"/>
      <c r="T230" s="104"/>
      <c r="U230" s="104"/>
      <c r="V230" s="76"/>
      <c r="W230" s="21"/>
      <c r="Y230" s="19"/>
      <c r="Z230" s="19"/>
      <c r="AA230"/>
      <c r="AB230"/>
    </row>
    <row r="231" spans="1:28" s="1" customFormat="1" x14ac:dyDescent="0.25">
      <c r="A231" s="101"/>
      <c r="B231" s="102"/>
      <c r="C231" s="103"/>
      <c r="D231" s="103"/>
      <c r="E231" s="103"/>
      <c r="F231" s="103"/>
      <c r="G231" s="103"/>
      <c r="H231" s="103"/>
      <c r="I231" s="103"/>
      <c r="J231" s="104"/>
      <c r="K231" s="103"/>
      <c r="L231" s="103"/>
      <c r="M231" s="103"/>
      <c r="N231" s="103"/>
      <c r="O231" s="104"/>
      <c r="P231" s="104"/>
      <c r="Q231" s="103"/>
      <c r="R231" s="103"/>
      <c r="S231" s="103"/>
      <c r="T231" s="104"/>
      <c r="U231" s="104"/>
      <c r="V231" s="76"/>
      <c r="W231" s="21"/>
      <c r="Y231" s="19"/>
      <c r="Z231" s="19"/>
      <c r="AA231"/>
      <c r="AB231"/>
    </row>
    <row r="232" spans="1:28" s="1" customFormat="1" x14ac:dyDescent="0.25">
      <c r="A232" s="101"/>
      <c r="B232" s="102"/>
      <c r="C232" s="103"/>
      <c r="D232" s="103"/>
      <c r="E232" s="103"/>
      <c r="F232" s="103"/>
      <c r="G232" s="103"/>
      <c r="H232" s="103"/>
      <c r="I232" s="103"/>
      <c r="J232" s="104"/>
      <c r="K232" s="103"/>
      <c r="L232" s="103"/>
      <c r="M232" s="103"/>
      <c r="N232" s="103"/>
      <c r="O232" s="104"/>
      <c r="P232" s="104"/>
      <c r="Q232" s="103"/>
      <c r="R232" s="103"/>
      <c r="S232" s="103"/>
      <c r="T232" s="104"/>
      <c r="U232" s="104"/>
      <c r="V232" s="76"/>
      <c r="W232" s="21"/>
      <c r="Y232" s="19"/>
      <c r="Z232" s="19"/>
      <c r="AA232"/>
      <c r="AB232"/>
    </row>
    <row r="233" spans="1:28" s="1" customFormat="1" x14ac:dyDescent="0.25">
      <c r="A233" s="101"/>
      <c r="B233" s="102"/>
      <c r="C233" s="103"/>
      <c r="D233" s="103"/>
      <c r="E233" s="103"/>
      <c r="F233" s="103"/>
      <c r="G233" s="103"/>
      <c r="H233" s="103"/>
      <c r="I233" s="103"/>
      <c r="J233" s="104"/>
      <c r="K233" s="103"/>
      <c r="L233" s="103"/>
      <c r="M233" s="103"/>
      <c r="N233" s="103"/>
      <c r="O233" s="104"/>
      <c r="P233" s="104"/>
      <c r="Q233" s="103"/>
      <c r="R233" s="103"/>
      <c r="S233" s="103"/>
      <c r="T233" s="104"/>
      <c r="U233" s="104"/>
      <c r="V233" s="76"/>
      <c r="W233" s="21"/>
      <c r="Y233" s="19"/>
      <c r="Z233" s="19"/>
      <c r="AA233"/>
      <c r="AB233"/>
    </row>
    <row r="234" spans="1:28" s="1" customFormat="1" x14ac:dyDescent="0.25">
      <c r="A234" s="101"/>
      <c r="B234" s="102"/>
      <c r="C234" s="103"/>
      <c r="D234" s="103"/>
      <c r="E234" s="103"/>
      <c r="F234" s="103"/>
      <c r="G234" s="103"/>
      <c r="H234" s="103"/>
      <c r="I234" s="103"/>
      <c r="J234" s="104"/>
      <c r="K234" s="103"/>
      <c r="L234" s="103"/>
      <c r="M234" s="103"/>
      <c r="N234" s="103"/>
      <c r="O234" s="104"/>
      <c r="P234" s="104"/>
      <c r="Q234" s="103"/>
      <c r="R234" s="103"/>
      <c r="S234" s="103"/>
      <c r="T234" s="104"/>
      <c r="U234" s="104"/>
      <c r="V234" s="76"/>
      <c r="W234" s="21"/>
      <c r="Y234" s="19"/>
      <c r="Z234" s="19"/>
      <c r="AA234"/>
      <c r="AB234"/>
    </row>
    <row r="235" spans="1:28" s="1" customFormat="1" x14ac:dyDescent="0.25">
      <c r="A235" s="101"/>
      <c r="B235" s="102"/>
      <c r="C235" s="103"/>
      <c r="D235" s="103"/>
      <c r="E235" s="103"/>
      <c r="F235" s="103"/>
      <c r="G235" s="103"/>
      <c r="H235" s="103"/>
      <c r="I235" s="103"/>
      <c r="J235" s="104"/>
      <c r="K235" s="103"/>
      <c r="L235" s="103"/>
      <c r="M235" s="103"/>
      <c r="N235" s="103"/>
      <c r="O235" s="104"/>
      <c r="P235" s="104"/>
      <c r="Q235" s="103"/>
      <c r="R235" s="103"/>
      <c r="S235" s="103"/>
      <c r="T235" s="104"/>
      <c r="U235" s="104"/>
      <c r="V235" s="76"/>
      <c r="W235" s="21"/>
      <c r="Y235" s="19"/>
      <c r="Z235" s="19"/>
      <c r="AA235"/>
      <c r="AB235"/>
    </row>
    <row r="236" spans="1:28" s="1" customFormat="1" x14ac:dyDescent="0.25">
      <c r="A236" s="101"/>
      <c r="B236" s="102"/>
      <c r="C236" s="103"/>
      <c r="D236" s="103"/>
      <c r="E236" s="103"/>
      <c r="F236" s="103"/>
      <c r="G236" s="103"/>
      <c r="H236" s="103"/>
      <c r="I236" s="103"/>
      <c r="J236" s="104"/>
      <c r="K236" s="103"/>
      <c r="L236" s="103"/>
      <c r="M236" s="103"/>
      <c r="N236" s="103"/>
      <c r="O236" s="104"/>
      <c r="P236" s="104"/>
      <c r="Q236" s="103"/>
      <c r="R236" s="103"/>
      <c r="S236" s="103"/>
      <c r="T236" s="104"/>
      <c r="U236" s="104"/>
      <c r="V236" s="76"/>
      <c r="W236" s="21"/>
      <c r="Y236" s="19"/>
      <c r="Z236" s="19"/>
      <c r="AA236"/>
      <c r="AB236"/>
    </row>
    <row r="237" spans="1:28" s="1" customFormat="1" x14ac:dyDescent="0.25">
      <c r="A237" s="101"/>
      <c r="B237" s="102"/>
      <c r="C237" s="103"/>
      <c r="D237" s="103"/>
      <c r="E237" s="103"/>
      <c r="F237" s="103"/>
      <c r="G237" s="103"/>
      <c r="H237" s="103"/>
      <c r="I237" s="103"/>
      <c r="J237" s="104"/>
      <c r="K237" s="103"/>
      <c r="L237" s="103"/>
      <c r="M237" s="103"/>
      <c r="N237" s="103"/>
      <c r="O237" s="104"/>
      <c r="P237" s="104"/>
      <c r="Q237" s="103"/>
      <c r="R237" s="103"/>
      <c r="S237" s="103"/>
      <c r="T237" s="104"/>
      <c r="U237" s="104"/>
      <c r="V237" s="76"/>
      <c r="W237" s="21"/>
      <c r="Y237" s="19"/>
      <c r="Z237" s="19"/>
      <c r="AA237"/>
      <c r="AB237"/>
    </row>
    <row r="238" spans="1:28" s="1" customFormat="1" x14ac:dyDescent="0.25">
      <c r="A238" s="101"/>
      <c r="B238" s="102"/>
      <c r="C238" s="103"/>
      <c r="D238" s="103"/>
      <c r="E238" s="103"/>
      <c r="F238" s="103"/>
      <c r="G238" s="103"/>
      <c r="H238" s="103"/>
      <c r="I238" s="103"/>
      <c r="J238" s="104"/>
      <c r="K238" s="103"/>
      <c r="L238" s="103"/>
      <c r="M238" s="103"/>
      <c r="N238" s="103"/>
      <c r="O238" s="104"/>
      <c r="P238" s="104"/>
      <c r="Q238" s="103"/>
      <c r="R238" s="103"/>
      <c r="S238" s="103"/>
      <c r="T238" s="104"/>
      <c r="U238" s="104"/>
      <c r="V238" s="76"/>
      <c r="W238" s="21"/>
      <c r="Y238" s="19"/>
      <c r="Z238" s="19"/>
      <c r="AA238"/>
      <c r="AB238"/>
    </row>
    <row r="239" spans="1:28" s="1" customFormat="1" x14ac:dyDescent="0.25">
      <c r="A239" s="101"/>
      <c r="B239" s="102"/>
      <c r="C239" s="103"/>
      <c r="D239" s="103"/>
      <c r="E239" s="103"/>
      <c r="F239" s="103"/>
      <c r="G239" s="103"/>
      <c r="H239" s="103"/>
      <c r="I239" s="103"/>
      <c r="J239" s="104"/>
      <c r="K239" s="103"/>
      <c r="L239" s="103"/>
      <c r="M239" s="103"/>
      <c r="N239" s="103"/>
      <c r="O239" s="104"/>
      <c r="P239" s="104"/>
      <c r="Q239" s="103"/>
      <c r="R239" s="103"/>
      <c r="S239" s="103"/>
      <c r="T239" s="104"/>
      <c r="U239" s="104"/>
      <c r="V239" s="76"/>
      <c r="W239" s="21"/>
      <c r="Y239" s="19"/>
      <c r="Z239" s="19"/>
      <c r="AA239"/>
      <c r="AB239"/>
    </row>
    <row r="240" spans="1:28" s="1" customFormat="1" x14ac:dyDescent="0.25">
      <c r="A240" s="101"/>
      <c r="B240" s="102"/>
      <c r="C240" s="103"/>
      <c r="D240" s="103"/>
      <c r="E240" s="103"/>
      <c r="F240" s="103"/>
      <c r="G240" s="103"/>
      <c r="H240" s="103"/>
      <c r="I240" s="103"/>
      <c r="J240" s="104"/>
      <c r="K240" s="103"/>
      <c r="L240" s="103"/>
      <c r="M240" s="103"/>
      <c r="N240" s="103"/>
      <c r="O240" s="104"/>
      <c r="P240" s="104"/>
      <c r="Q240" s="103"/>
      <c r="R240" s="103"/>
      <c r="S240" s="103"/>
      <c r="T240" s="104"/>
      <c r="U240" s="104"/>
      <c r="V240" s="76"/>
      <c r="W240" s="21"/>
      <c r="Y240" s="19"/>
      <c r="Z240" s="19"/>
      <c r="AA240"/>
      <c r="AB240"/>
    </row>
    <row r="241" spans="1:28" s="1" customFormat="1" x14ac:dyDescent="0.25">
      <c r="A241" s="101"/>
      <c r="B241" s="102"/>
      <c r="C241" s="103"/>
      <c r="D241" s="103"/>
      <c r="E241" s="103"/>
      <c r="F241" s="103"/>
      <c r="G241" s="103"/>
      <c r="H241" s="103"/>
      <c r="I241" s="103"/>
      <c r="J241" s="104"/>
      <c r="K241" s="103"/>
      <c r="L241" s="103"/>
      <c r="M241" s="103"/>
      <c r="N241" s="103"/>
      <c r="O241" s="104"/>
      <c r="P241" s="104"/>
      <c r="Q241" s="103"/>
      <c r="R241" s="103"/>
      <c r="S241" s="103"/>
      <c r="T241" s="104"/>
      <c r="U241" s="104"/>
      <c r="V241" s="76"/>
      <c r="W241" s="21"/>
      <c r="Y241" s="19"/>
      <c r="Z241" s="19"/>
      <c r="AA241"/>
      <c r="AB241"/>
    </row>
    <row r="242" spans="1:28" s="1" customFormat="1" x14ac:dyDescent="0.25">
      <c r="A242" s="101"/>
      <c r="B242" s="102"/>
      <c r="C242" s="103"/>
      <c r="D242" s="103"/>
      <c r="E242" s="103"/>
      <c r="F242" s="103"/>
      <c r="G242" s="103"/>
      <c r="H242" s="103"/>
      <c r="I242" s="103"/>
      <c r="J242" s="104"/>
      <c r="K242" s="103"/>
      <c r="L242" s="103"/>
      <c r="M242" s="103"/>
      <c r="N242" s="103"/>
      <c r="O242" s="104"/>
      <c r="P242" s="104"/>
      <c r="Q242" s="103"/>
      <c r="R242" s="103"/>
      <c r="S242" s="103"/>
      <c r="T242" s="104"/>
      <c r="U242" s="104"/>
      <c r="V242" s="76"/>
      <c r="W242" s="21"/>
      <c r="Y242" s="19"/>
      <c r="Z242" s="19"/>
      <c r="AA242"/>
      <c r="AB242"/>
    </row>
    <row r="243" spans="1:28" s="1" customFormat="1" x14ac:dyDescent="0.25">
      <c r="A243" s="101"/>
      <c r="B243" s="102"/>
      <c r="C243" s="103"/>
      <c r="D243" s="103"/>
      <c r="E243" s="103"/>
      <c r="F243" s="103"/>
      <c r="G243" s="103"/>
      <c r="H243" s="103"/>
      <c r="I243" s="103"/>
      <c r="J243" s="104"/>
      <c r="K243" s="103"/>
      <c r="L243" s="103"/>
      <c r="M243" s="103"/>
      <c r="N243" s="103"/>
      <c r="O243" s="104"/>
      <c r="P243" s="104"/>
      <c r="Q243" s="103"/>
      <c r="R243" s="103"/>
      <c r="S243" s="103"/>
      <c r="T243" s="104"/>
      <c r="U243" s="104"/>
      <c r="V243" s="76"/>
      <c r="W243" s="21"/>
      <c r="Y243" s="19"/>
      <c r="Z243" s="19"/>
      <c r="AA243"/>
      <c r="AB243"/>
    </row>
    <row r="244" spans="1:28" s="1" customFormat="1" x14ac:dyDescent="0.25">
      <c r="A244" s="101"/>
      <c r="B244" s="102"/>
      <c r="C244" s="103"/>
      <c r="D244" s="103"/>
      <c r="E244" s="103"/>
      <c r="F244" s="103"/>
      <c r="G244" s="103"/>
      <c r="H244" s="103"/>
      <c r="I244" s="103"/>
      <c r="J244" s="104"/>
      <c r="K244" s="103"/>
      <c r="L244" s="103"/>
      <c r="M244" s="103"/>
      <c r="N244" s="103"/>
      <c r="O244" s="104"/>
      <c r="P244" s="104"/>
      <c r="Q244" s="103"/>
      <c r="R244" s="103"/>
      <c r="S244" s="103"/>
      <c r="T244" s="104"/>
      <c r="U244" s="104"/>
      <c r="V244" s="76"/>
      <c r="W244" s="21"/>
      <c r="Y244" s="19"/>
      <c r="Z244" s="19"/>
      <c r="AA244"/>
      <c r="AB244"/>
    </row>
    <row r="245" spans="1:28" s="1" customFormat="1" x14ac:dyDescent="0.25">
      <c r="A245" s="101"/>
      <c r="B245" s="102"/>
      <c r="C245" s="103"/>
      <c r="D245" s="103"/>
      <c r="E245" s="103"/>
      <c r="F245" s="103"/>
      <c r="G245" s="103"/>
      <c r="H245" s="103"/>
      <c r="I245" s="103"/>
      <c r="J245" s="104"/>
      <c r="K245" s="103"/>
      <c r="L245" s="103"/>
      <c r="M245" s="103"/>
      <c r="N245" s="103"/>
      <c r="O245" s="104"/>
      <c r="P245" s="104"/>
      <c r="Q245" s="103"/>
      <c r="R245" s="103"/>
      <c r="S245" s="103"/>
      <c r="T245" s="104"/>
      <c r="U245" s="104"/>
      <c r="V245" s="76"/>
      <c r="W245" s="21"/>
      <c r="Y245" s="19"/>
      <c r="Z245" s="19"/>
      <c r="AA245"/>
      <c r="AB245"/>
    </row>
    <row r="246" spans="1:28" s="1" customFormat="1" x14ac:dyDescent="0.25">
      <c r="A246" s="101"/>
      <c r="B246" s="102"/>
      <c r="C246" s="103"/>
      <c r="D246" s="103"/>
      <c r="E246" s="103"/>
      <c r="F246" s="103"/>
      <c r="G246" s="103"/>
      <c r="H246" s="103"/>
      <c r="I246" s="103"/>
      <c r="J246" s="104"/>
      <c r="K246" s="103"/>
      <c r="L246" s="103"/>
      <c r="M246" s="103"/>
      <c r="N246" s="103"/>
      <c r="O246" s="104"/>
      <c r="P246" s="104"/>
      <c r="Q246" s="103"/>
      <c r="R246" s="103"/>
      <c r="S246" s="103"/>
      <c r="T246" s="104"/>
      <c r="U246" s="104"/>
      <c r="V246" s="76"/>
      <c r="W246" s="21"/>
      <c r="Y246" s="19"/>
      <c r="Z246" s="19"/>
      <c r="AA246"/>
      <c r="AB246"/>
    </row>
    <row r="247" spans="1:28" s="1" customFormat="1" x14ac:dyDescent="0.25">
      <c r="A247" s="101"/>
      <c r="B247" s="102"/>
      <c r="C247" s="103"/>
      <c r="D247" s="103"/>
      <c r="E247" s="103"/>
      <c r="F247" s="103"/>
      <c r="G247" s="103"/>
      <c r="H247" s="103"/>
      <c r="I247" s="103"/>
      <c r="J247" s="104"/>
      <c r="K247" s="103"/>
      <c r="L247" s="103"/>
      <c r="M247" s="103"/>
      <c r="N247" s="103"/>
      <c r="O247" s="104"/>
      <c r="P247" s="104"/>
      <c r="Q247" s="103"/>
      <c r="R247" s="103"/>
      <c r="S247" s="103"/>
      <c r="T247" s="104"/>
      <c r="U247" s="104"/>
      <c r="V247" s="76"/>
      <c r="W247" s="21"/>
      <c r="Y247" s="19"/>
      <c r="Z247" s="19"/>
      <c r="AA247"/>
      <c r="AB247"/>
    </row>
    <row r="248" spans="1:28" s="1" customFormat="1" x14ac:dyDescent="0.25">
      <c r="A248" s="101"/>
      <c r="B248" s="102"/>
      <c r="C248" s="103"/>
      <c r="D248" s="103"/>
      <c r="E248" s="103"/>
      <c r="F248" s="103"/>
      <c r="G248" s="103"/>
      <c r="H248" s="103"/>
      <c r="I248" s="103"/>
      <c r="J248" s="104"/>
      <c r="K248" s="103"/>
      <c r="L248" s="103"/>
      <c r="M248" s="103"/>
      <c r="N248" s="103"/>
      <c r="O248" s="104"/>
      <c r="P248" s="104"/>
      <c r="Q248" s="103"/>
      <c r="R248" s="103"/>
      <c r="S248" s="103"/>
      <c r="T248" s="104"/>
      <c r="U248" s="104"/>
      <c r="V248" s="76"/>
      <c r="W248" s="21"/>
      <c r="Y248" s="19"/>
      <c r="Z248" s="19"/>
      <c r="AA248"/>
      <c r="AB248"/>
    </row>
    <row r="249" spans="1:28" s="1" customFormat="1" x14ac:dyDescent="0.25">
      <c r="A249" s="101"/>
      <c r="B249" s="102"/>
      <c r="C249" s="103"/>
      <c r="D249" s="103"/>
      <c r="E249" s="103"/>
      <c r="F249" s="103"/>
      <c r="G249" s="103"/>
      <c r="H249" s="103"/>
      <c r="I249" s="103"/>
      <c r="J249" s="104"/>
      <c r="K249" s="103"/>
      <c r="L249" s="103"/>
      <c r="M249" s="103"/>
      <c r="N249" s="103"/>
      <c r="O249" s="104"/>
      <c r="P249" s="104"/>
      <c r="Q249" s="103"/>
      <c r="R249" s="103"/>
      <c r="S249" s="103"/>
      <c r="T249" s="104"/>
      <c r="U249" s="104"/>
      <c r="V249" s="76"/>
      <c r="W249" s="21"/>
      <c r="Y249" s="19"/>
      <c r="Z249" s="19"/>
      <c r="AA249"/>
      <c r="AB249"/>
    </row>
    <row r="250" spans="1:28" s="1" customFormat="1" x14ac:dyDescent="0.25">
      <c r="A250" s="101"/>
      <c r="B250" s="102"/>
      <c r="C250" s="103"/>
      <c r="D250" s="103"/>
      <c r="E250" s="103"/>
      <c r="F250" s="103"/>
      <c r="G250" s="103"/>
      <c r="H250" s="103"/>
      <c r="I250" s="103"/>
      <c r="J250" s="104"/>
      <c r="K250" s="103"/>
      <c r="L250" s="103"/>
      <c r="M250" s="103"/>
      <c r="N250" s="103"/>
      <c r="O250" s="104"/>
      <c r="P250" s="104"/>
      <c r="Q250" s="103"/>
      <c r="R250" s="103"/>
      <c r="S250" s="103"/>
      <c r="T250" s="104"/>
      <c r="U250" s="104"/>
      <c r="V250" s="76"/>
      <c r="W250" s="21"/>
      <c r="Y250" s="19"/>
      <c r="Z250" s="19"/>
      <c r="AA250"/>
      <c r="AB250"/>
    </row>
    <row r="251" spans="1:28" s="1" customFormat="1" x14ac:dyDescent="0.25">
      <c r="A251" s="101"/>
      <c r="B251" s="102"/>
      <c r="C251" s="103"/>
      <c r="D251" s="103"/>
      <c r="E251" s="103"/>
      <c r="F251" s="103"/>
      <c r="G251" s="103"/>
      <c r="H251" s="103"/>
      <c r="I251" s="103"/>
      <c r="J251" s="104"/>
      <c r="K251" s="103"/>
      <c r="L251" s="103"/>
      <c r="M251" s="103"/>
      <c r="N251" s="103"/>
      <c r="O251" s="104"/>
      <c r="P251" s="104"/>
      <c r="Q251" s="103"/>
      <c r="R251" s="103"/>
      <c r="S251" s="103"/>
      <c r="T251" s="104"/>
      <c r="U251" s="104"/>
      <c r="V251" s="76"/>
      <c r="W251" s="21"/>
      <c r="Y251" s="19"/>
      <c r="Z251" s="19"/>
      <c r="AA251"/>
      <c r="AB251"/>
    </row>
    <row r="252" spans="1:28" s="1" customFormat="1" x14ac:dyDescent="0.25">
      <c r="A252" s="101"/>
      <c r="B252" s="102"/>
      <c r="C252" s="103"/>
      <c r="D252" s="103"/>
      <c r="E252" s="103"/>
      <c r="F252" s="103"/>
      <c r="G252" s="103"/>
      <c r="H252" s="103"/>
      <c r="I252" s="103"/>
      <c r="J252" s="104"/>
      <c r="K252" s="103"/>
      <c r="L252" s="103"/>
      <c r="M252" s="103"/>
      <c r="N252" s="103"/>
      <c r="O252" s="104"/>
      <c r="P252" s="104"/>
      <c r="Q252" s="103"/>
      <c r="R252" s="103"/>
      <c r="S252" s="103"/>
      <c r="T252" s="104"/>
      <c r="U252" s="104"/>
      <c r="V252" s="76"/>
      <c r="W252" s="21"/>
      <c r="Y252" s="19"/>
      <c r="Z252" s="19"/>
      <c r="AA252"/>
      <c r="AB252"/>
    </row>
    <row r="253" spans="1:28" s="1" customFormat="1" x14ac:dyDescent="0.25">
      <c r="A253" s="19"/>
      <c r="B253" s="19"/>
      <c r="C253" s="96" t="s">
        <v>56</v>
      </c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109"/>
      <c r="Q253" s="97"/>
      <c r="R253" s="97"/>
      <c r="S253" s="98"/>
      <c r="T253" s="99"/>
      <c r="U253" s="99"/>
      <c r="V253" s="100"/>
      <c r="Y253" s="19"/>
      <c r="Z253" s="19"/>
      <c r="AA253"/>
      <c r="AB253"/>
    </row>
    <row r="254" spans="1:28" s="1" customFormat="1" x14ac:dyDescent="0.25">
      <c r="A254" s="19"/>
      <c r="B254" s="19"/>
      <c r="C254" s="96" t="s">
        <v>57</v>
      </c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109"/>
      <c r="Q254" s="97"/>
      <c r="R254" s="97"/>
      <c r="S254" s="98"/>
      <c r="T254" s="99"/>
      <c r="U254" s="99"/>
      <c r="V254" s="100"/>
      <c r="Y254" s="19"/>
      <c r="Z254" s="19"/>
      <c r="AA254"/>
      <c r="AB254"/>
    </row>
    <row r="255" spans="1:28" s="1" customFormat="1" x14ac:dyDescent="0.25">
      <c r="A255" s="19"/>
      <c r="B255" s="19"/>
      <c r="C255" s="96" t="s">
        <v>58</v>
      </c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109"/>
      <c r="Q255" s="97"/>
      <c r="R255" s="97"/>
      <c r="S255" s="98"/>
      <c r="T255" s="99"/>
      <c r="U255" s="99"/>
      <c r="V255" s="100"/>
      <c r="Y255" s="19"/>
      <c r="Z255" s="19"/>
      <c r="AA255"/>
      <c r="AB255"/>
    </row>
    <row r="256" spans="1:28" s="1" customFormat="1" x14ac:dyDescent="0.25">
      <c r="A256" s="19"/>
      <c r="B256" s="19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109"/>
      <c r="Q256" s="97"/>
      <c r="R256" s="97"/>
      <c r="S256" s="98"/>
      <c r="T256" s="99"/>
      <c r="U256" s="99"/>
      <c r="V256" s="100"/>
      <c r="Y256" s="19"/>
      <c r="Z256" s="19"/>
      <c r="AA256"/>
      <c r="AB256"/>
    </row>
  </sheetData>
  <mergeCells count="13">
    <mergeCell ref="A143:N143"/>
    <mergeCell ref="A119:N119"/>
    <mergeCell ref="A1:N1"/>
    <mergeCell ref="T1:V1"/>
    <mergeCell ref="B12:I12"/>
    <mergeCell ref="M12:N12"/>
    <mergeCell ref="A13:N13"/>
    <mergeCell ref="M27:N27"/>
    <mergeCell ref="A29:N29"/>
    <mergeCell ref="C41:E41"/>
    <mergeCell ref="A46:N46"/>
    <mergeCell ref="A72:N72"/>
    <mergeCell ref="A93:N93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W29"/>
  <sheetViews>
    <sheetView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9" sqref="D29"/>
    </sheetView>
  </sheetViews>
  <sheetFormatPr defaultRowHeight="15.75" x14ac:dyDescent="0.25"/>
  <cols>
    <col min="1" max="1" width="30.7109375" style="1" customWidth="1"/>
    <col min="2" max="2" width="19.85546875" style="1" customWidth="1"/>
    <col min="3" max="9" width="17.5703125" style="1" customWidth="1"/>
    <col min="10" max="17" width="20" style="1" customWidth="1"/>
    <col min="18" max="18" width="24.85546875" style="1" customWidth="1"/>
    <col min="19" max="21" width="21.42578125" style="1" customWidth="1"/>
    <col min="22" max="23" width="9.140625" style="1"/>
  </cols>
  <sheetData>
    <row r="1" spans="1:23" s="1" customFormat="1" ht="35.25" customHeight="1" x14ac:dyDescent="0.25">
      <c r="A1" s="754" t="s">
        <v>280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</row>
    <row r="2" spans="1:23" s="1" customFormat="1" ht="35.25" customHeight="1" x14ac:dyDescent="0.25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</row>
    <row r="3" spans="1:23" s="334" customFormat="1" ht="67.5" customHeight="1" x14ac:dyDescent="0.25">
      <c r="A3" s="755" t="s">
        <v>281</v>
      </c>
      <c r="B3" s="752" t="s">
        <v>282</v>
      </c>
      <c r="C3" s="751" t="s">
        <v>283</v>
      </c>
      <c r="D3" s="751"/>
      <c r="E3" s="751"/>
      <c r="F3" s="751" t="s">
        <v>284</v>
      </c>
      <c r="G3" s="757" t="s">
        <v>81</v>
      </c>
      <c r="H3" s="757"/>
      <c r="I3" s="757"/>
      <c r="J3" s="751" t="s">
        <v>285</v>
      </c>
      <c r="K3" s="757" t="s">
        <v>81</v>
      </c>
      <c r="L3" s="757"/>
      <c r="M3" s="757"/>
      <c r="N3" s="758" t="s">
        <v>286</v>
      </c>
      <c r="O3" s="757" t="s">
        <v>81</v>
      </c>
      <c r="P3" s="757"/>
      <c r="Q3" s="757"/>
      <c r="R3" s="751" t="s">
        <v>287</v>
      </c>
      <c r="S3" s="751" t="s">
        <v>168</v>
      </c>
      <c r="T3" s="752" t="s">
        <v>72</v>
      </c>
      <c r="U3" s="752" t="s">
        <v>288</v>
      </c>
      <c r="V3" s="333"/>
      <c r="W3" s="333"/>
    </row>
    <row r="4" spans="1:23" s="1" customFormat="1" ht="78.75" x14ac:dyDescent="0.25">
      <c r="A4" s="756"/>
      <c r="B4" s="753"/>
      <c r="C4" s="336" t="s">
        <v>289</v>
      </c>
      <c r="D4" s="336" t="s">
        <v>289</v>
      </c>
      <c r="E4" s="336" t="s">
        <v>289</v>
      </c>
      <c r="F4" s="751"/>
      <c r="G4" s="336" t="s">
        <v>290</v>
      </c>
      <c r="H4" s="336" t="s">
        <v>291</v>
      </c>
      <c r="I4" s="336" t="s">
        <v>292</v>
      </c>
      <c r="J4" s="751"/>
      <c r="K4" s="336" t="s">
        <v>290</v>
      </c>
      <c r="L4" s="336" t="s">
        <v>291</v>
      </c>
      <c r="M4" s="336" t="s">
        <v>292</v>
      </c>
      <c r="N4" s="758"/>
      <c r="O4" s="336" t="s">
        <v>290</v>
      </c>
      <c r="P4" s="336" t="s">
        <v>291</v>
      </c>
      <c r="Q4" s="336" t="s">
        <v>292</v>
      </c>
      <c r="R4" s="751"/>
      <c r="S4" s="751"/>
      <c r="T4" s="753"/>
      <c r="U4" s="753"/>
    </row>
    <row r="5" spans="1:23" s="346" customFormat="1" x14ac:dyDescent="0.25">
      <c r="A5" s="337" t="s">
        <v>188</v>
      </c>
      <c r="B5" s="338">
        <v>673</v>
      </c>
      <c r="C5" s="339">
        <v>205</v>
      </c>
      <c r="D5" s="339">
        <v>230</v>
      </c>
      <c r="E5" s="339">
        <v>238</v>
      </c>
      <c r="F5" s="340">
        <v>1800</v>
      </c>
      <c r="G5" s="340">
        <f>F5*20%</f>
        <v>360</v>
      </c>
      <c r="H5" s="340">
        <f>F5*50%</f>
        <v>900</v>
      </c>
      <c r="I5" s="340">
        <f>F5*70%</f>
        <v>1260</v>
      </c>
      <c r="J5" s="341">
        <f>K5+L5+M5</f>
        <v>580680</v>
      </c>
      <c r="K5" s="342">
        <f>G5*C5</f>
        <v>73800</v>
      </c>
      <c r="L5" s="342">
        <f>H5*D5</f>
        <v>207000</v>
      </c>
      <c r="M5" s="342">
        <f>I5*E5</f>
        <v>299880</v>
      </c>
      <c r="N5" s="343">
        <f>O5+P5+Q5</f>
        <v>3495.3553398058248</v>
      </c>
      <c r="O5" s="342">
        <f>((K5/20.6)*124)/1000</f>
        <v>444.23300970873782</v>
      </c>
      <c r="P5" s="342">
        <f t="shared" ref="P5:Q20" si="0">((L5/20.6)*124)/1000</f>
        <v>1246.019417475728</v>
      </c>
      <c r="Q5" s="342">
        <f t="shared" si="0"/>
        <v>1805.1029126213591</v>
      </c>
      <c r="R5" s="338">
        <v>673</v>
      </c>
      <c r="S5" s="344">
        <v>3495.3</v>
      </c>
      <c r="T5" s="344">
        <f>N5/S5*100</f>
        <v>100.00158326340585</v>
      </c>
      <c r="U5" s="344">
        <f>N5-S5</f>
        <v>5.5339805824587529E-2</v>
      </c>
      <c r="V5" s="345"/>
    </row>
    <row r="6" spans="1:23" s="357" customFormat="1" x14ac:dyDescent="0.25">
      <c r="A6" s="347" t="s">
        <v>189</v>
      </c>
      <c r="B6" s="338">
        <f>C6+D6+E6</f>
        <v>952</v>
      </c>
      <c r="C6" s="348">
        <v>345</v>
      </c>
      <c r="D6" s="348">
        <v>314</v>
      </c>
      <c r="E6" s="348">
        <v>293</v>
      </c>
      <c r="F6" s="349">
        <v>2300</v>
      </c>
      <c r="G6" s="349">
        <f t="shared" ref="G6:G23" si="1">F6*20%</f>
        <v>460</v>
      </c>
      <c r="H6" s="349">
        <f t="shared" ref="H6:H23" si="2">F6*50%</f>
        <v>1150</v>
      </c>
      <c r="I6" s="349">
        <f t="shared" ref="I6:I23" si="3">F6*70%</f>
        <v>1610</v>
      </c>
      <c r="J6" s="350">
        <f t="shared" ref="J6:J23" si="4">K6+L6+M6</f>
        <v>991530</v>
      </c>
      <c r="K6" s="351">
        <f t="shared" ref="K6:K23" si="5">G6*C6</f>
        <v>158700</v>
      </c>
      <c r="L6" s="351">
        <f t="shared" ref="L6:L23" si="6">H6*D6</f>
        <v>361100</v>
      </c>
      <c r="M6" s="351">
        <f t="shared" ref="M6:M23" si="7">I6*E6</f>
        <v>471730</v>
      </c>
      <c r="N6" s="352">
        <f t="shared" ref="N6:N23" si="8">O6+P6+Q6</f>
        <v>5968.4330097087368</v>
      </c>
      <c r="O6" s="353">
        <f t="shared" ref="O6:Q23" si="9">((K6/20.6)*124)/1000</f>
        <v>955.28155339805812</v>
      </c>
      <c r="P6" s="353">
        <f t="shared" si="0"/>
        <v>2173.6116504854367</v>
      </c>
      <c r="Q6" s="353">
        <f t="shared" si="0"/>
        <v>2839.5398058252422</v>
      </c>
      <c r="R6" s="354">
        <v>952</v>
      </c>
      <c r="S6" s="355">
        <v>5968.4</v>
      </c>
      <c r="T6" s="344">
        <f t="shared" ref="T6:T23" si="10">N6/S6*100</f>
        <v>100.00055307467221</v>
      </c>
      <c r="U6" s="355">
        <f t="shared" ref="U6:U24" si="11">N6-S6</f>
        <v>3.3009708737154142E-2</v>
      </c>
      <c r="V6" s="356"/>
    </row>
    <row r="7" spans="1:23" s="346" customFormat="1" x14ac:dyDescent="0.25">
      <c r="A7" s="337" t="s">
        <v>190</v>
      </c>
      <c r="B7" s="338">
        <f t="shared" ref="B7:B23" si="12">C7+D7+E7</f>
        <v>2462</v>
      </c>
      <c r="C7" s="339">
        <v>799</v>
      </c>
      <c r="D7" s="339">
        <v>863</v>
      </c>
      <c r="E7" s="339">
        <v>800</v>
      </c>
      <c r="F7" s="340">
        <v>1595</v>
      </c>
      <c r="G7" s="340">
        <f t="shared" si="1"/>
        <v>319</v>
      </c>
      <c r="H7" s="340">
        <f t="shared" si="2"/>
        <v>797.5</v>
      </c>
      <c r="I7" s="340">
        <f t="shared" si="3"/>
        <v>1116.5</v>
      </c>
      <c r="J7" s="341">
        <f t="shared" si="4"/>
        <v>1836323.5</v>
      </c>
      <c r="K7" s="358">
        <f t="shared" si="5"/>
        <v>254881</v>
      </c>
      <c r="L7" s="358">
        <f t="shared" si="6"/>
        <v>688242.5</v>
      </c>
      <c r="M7" s="358">
        <f t="shared" si="7"/>
        <v>893200</v>
      </c>
      <c r="N7" s="343">
        <f t="shared" si="8"/>
        <v>11053.597766990291</v>
      </c>
      <c r="O7" s="342">
        <f t="shared" si="9"/>
        <v>1534.2351456310678</v>
      </c>
      <c r="P7" s="342">
        <f t="shared" si="0"/>
        <v>4142.8189320388346</v>
      </c>
      <c r="Q7" s="342">
        <f t="shared" si="0"/>
        <v>5376.5436893203887</v>
      </c>
      <c r="R7" s="338">
        <v>2462</v>
      </c>
      <c r="S7" s="344">
        <v>11053.5</v>
      </c>
      <c r="T7" s="344">
        <f t="shared" si="10"/>
        <v>100.00088448898804</v>
      </c>
      <c r="U7" s="344">
        <f t="shared" si="11"/>
        <v>9.7766990291347611E-2</v>
      </c>
      <c r="V7" s="345"/>
    </row>
    <row r="8" spans="1:23" s="357" customFormat="1" x14ac:dyDescent="0.25">
      <c r="A8" s="347" t="s">
        <v>191</v>
      </c>
      <c r="B8" s="338">
        <f t="shared" si="12"/>
        <v>1162</v>
      </c>
      <c r="C8" s="348">
        <v>392</v>
      </c>
      <c r="D8" s="348">
        <v>392</v>
      </c>
      <c r="E8" s="348">
        <v>378</v>
      </c>
      <c r="F8" s="349">
        <v>1658.6</v>
      </c>
      <c r="G8" s="349">
        <f t="shared" si="1"/>
        <v>331.72</v>
      </c>
      <c r="H8" s="349">
        <f t="shared" si="2"/>
        <v>829.3</v>
      </c>
      <c r="I8" s="349">
        <f t="shared" si="3"/>
        <v>1161.0199999999998</v>
      </c>
      <c r="J8" s="350">
        <f t="shared" si="4"/>
        <v>893985.39999999991</v>
      </c>
      <c r="K8" s="351">
        <f t="shared" si="5"/>
        <v>130034.24000000001</v>
      </c>
      <c r="L8" s="351">
        <f t="shared" si="6"/>
        <v>325085.59999999998</v>
      </c>
      <c r="M8" s="351">
        <f t="shared" si="7"/>
        <v>438865.55999999988</v>
      </c>
      <c r="N8" s="352">
        <f t="shared" si="8"/>
        <v>5381.271339805824</v>
      </c>
      <c r="O8" s="353">
        <f t="shared" si="9"/>
        <v>782.73037669902908</v>
      </c>
      <c r="P8" s="353">
        <f t="shared" si="0"/>
        <v>1956.8259417475724</v>
      </c>
      <c r="Q8" s="353">
        <f t="shared" si="0"/>
        <v>2641.7150213592226</v>
      </c>
      <c r="R8" s="354">
        <v>1162</v>
      </c>
      <c r="S8" s="355">
        <v>5381.2</v>
      </c>
      <c r="T8" s="344">
        <f t="shared" si="10"/>
        <v>100.00132572299532</v>
      </c>
      <c r="U8" s="355">
        <f t="shared" si="11"/>
        <v>7.1339805824209179E-2</v>
      </c>
      <c r="V8" s="356"/>
    </row>
    <row r="9" spans="1:23" s="346" customFormat="1" x14ac:dyDescent="0.25">
      <c r="A9" s="337" t="s">
        <v>192</v>
      </c>
      <c r="B9" s="338">
        <f t="shared" si="12"/>
        <v>2195</v>
      </c>
      <c r="C9" s="339">
        <v>830</v>
      </c>
      <c r="D9" s="339">
        <v>741</v>
      </c>
      <c r="E9" s="339">
        <v>624</v>
      </c>
      <c r="F9" s="340">
        <v>2562.5</v>
      </c>
      <c r="G9" s="340">
        <f t="shared" si="1"/>
        <v>512.5</v>
      </c>
      <c r="H9" s="340">
        <f t="shared" si="2"/>
        <v>1281.25</v>
      </c>
      <c r="I9" s="340">
        <f t="shared" si="3"/>
        <v>1793.7499999999998</v>
      </c>
      <c r="J9" s="341">
        <f t="shared" si="4"/>
        <v>2494081.25</v>
      </c>
      <c r="K9" s="358">
        <f t="shared" si="5"/>
        <v>425375</v>
      </c>
      <c r="L9" s="358">
        <f t="shared" si="6"/>
        <v>949406.25</v>
      </c>
      <c r="M9" s="358">
        <f t="shared" si="7"/>
        <v>1119299.9999999998</v>
      </c>
      <c r="N9" s="343">
        <f t="shared" si="8"/>
        <v>15012.916262135921</v>
      </c>
      <c r="O9" s="342">
        <f t="shared" si="9"/>
        <v>2560.509708737864</v>
      </c>
      <c r="P9" s="342">
        <f t="shared" si="0"/>
        <v>5714.8725728155341</v>
      </c>
      <c r="Q9" s="342">
        <f t="shared" si="0"/>
        <v>6737.5339805825224</v>
      </c>
      <c r="R9" s="338">
        <v>2195</v>
      </c>
      <c r="S9" s="344">
        <v>14517.8</v>
      </c>
      <c r="T9" s="344">
        <f t="shared" si="10"/>
        <v>103.41040834104287</v>
      </c>
      <c r="U9" s="344">
        <f t="shared" si="11"/>
        <v>495.11626213592172</v>
      </c>
      <c r="V9" s="345"/>
    </row>
    <row r="10" spans="1:23" s="346" customFormat="1" x14ac:dyDescent="0.25">
      <c r="A10" s="337" t="s">
        <v>193</v>
      </c>
      <c r="B10" s="338">
        <f t="shared" si="12"/>
        <v>522</v>
      </c>
      <c r="C10" s="339">
        <v>218</v>
      </c>
      <c r="D10" s="339">
        <v>164</v>
      </c>
      <c r="E10" s="339">
        <v>140</v>
      </c>
      <c r="F10" s="340">
        <v>2560</v>
      </c>
      <c r="G10" s="340">
        <f t="shared" si="1"/>
        <v>512</v>
      </c>
      <c r="H10" s="340">
        <f t="shared" si="2"/>
        <v>1280</v>
      </c>
      <c r="I10" s="340">
        <f t="shared" si="3"/>
        <v>1792</v>
      </c>
      <c r="J10" s="341">
        <f t="shared" si="4"/>
        <v>572416</v>
      </c>
      <c r="K10" s="358">
        <f t="shared" si="5"/>
        <v>111616</v>
      </c>
      <c r="L10" s="358">
        <f t="shared" si="6"/>
        <v>209920</v>
      </c>
      <c r="M10" s="358">
        <f t="shared" si="7"/>
        <v>250880</v>
      </c>
      <c r="N10" s="343">
        <f t="shared" si="8"/>
        <v>3445.6108737864079</v>
      </c>
      <c r="O10" s="342">
        <f t="shared" si="9"/>
        <v>671.86330097087375</v>
      </c>
      <c r="P10" s="342">
        <f t="shared" si="0"/>
        <v>1263.5961165048543</v>
      </c>
      <c r="Q10" s="342">
        <f t="shared" si="0"/>
        <v>1510.1514563106796</v>
      </c>
      <c r="R10" s="338">
        <v>522</v>
      </c>
      <c r="S10" s="344">
        <v>3345.5</v>
      </c>
      <c r="T10" s="344">
        <f t="shared" si="10"/>
        <v>102.9924039392141</v>
      </c>
      <c r="U10" s="344">
        <f t="shared" si="11"/>
        <v>100.11087378640786</v>
      </c>
      <c r="V10" s="345"/>
    </row>
    <row r="11" spans="1:23" s="346" customFormat="1" x14ac:dyDescent="0.25">
      <c r="A11" s="337" t="s">
        <v>194</v>
      </c>
      <c r="B11" s="338">
        <f t="shared" si="12"/>
        <v>696</v>
      </c>
      <c r="C11" s="339">
        <v>200</v>
      </c>
      <c r="D11" s="339">
        <v>228</v>
      </c>
      <c r="E11" s="339">
        <v>268</v>
      </c>
      <c r="F11" s="340">
        <v>1800</v>
      </c>
      <c r="G11" s="340">
        <f t="shared" si="1"/>
        <v>360</v>
      </c>
      <c r="H11" s="340">
        <f t="shared" si="2"/>
        <v>900</v>
      </c>
      <c r="I11" s="340">
        <f t="shared" si="3"/>
        <v>1260</v>
      </c>
      <c r="J11" s="341">
        <f t="shared" si="4"/>
        <v>614880</v>
      </c>
      <c r="K11" s="358">
        <f t="shared" si="5"/>
        <v>72000</v>
      </c>
      <c r="L11" s="358">
        <f t="shared" si="6"/>
        <v>205200</v>
      </c>
      <c r="M11" s="358">
        <f t="shared" si="7"/>
        <v>337680</v>
      </c>
      <c r="N11" s="343">
        <f t="shared" si="8"/>
        <v>3701.2194174757278</v>
      </c>
      <c r="O11" s="342">
        <f t="shared" si="9"/>
        <v>433.39805825242712</v>
      </c>
      <c r="P11" s="342">
        <f t="shared" si="0"/>
        <v>1235.1844660194174</v>
      </c>
      <c r="Q11" s="342">
        <f t="shared" si="0"/>
        <v>2032.6368932038831</v>
      </c>
      <c r="R11" s="338">
        <v>696</v>
      </c>
      <c r="S11" s="344">
        <v>3701.2</v>
      </c>
      <c r="T11" s="344">
        <f t="shared" si="10"/>
        <v>100.00052462649217</v>
      </c>
      <c r="U11" s="344">
        <f t="shared" si="11"/>
        <v>1.9417475728005229E-2</v>
      </c>
      <c r="V11" s="345"/>
    </row>
    <row r="12" spans="1:23" s="346" customFormat="1" x14ac:dyDescent="0.25">
      <c r="A12" s="337" t="s">
        <v>195</v>
      </c>
      <c r="B12" s="338">
        <f t="shared" si="12"/>
        <v>693</v>
      </c>
      <c r="C12" s="339">
        <v>441</v>
      </c>
      <c r="D12" s="339">
        <v>133</v>
      </c>
      <c r="E12" s="339">
        <v>119</v>
      </c>
      <c r="F12" s="340">
        <v>2081.8000000000002</v>
      </c>
      <c r="G12" s="340">
        <f t="shared" si="1"/>
        <v>416.36000000000007</v>
      </c>
      <c r="H12" s="340">
        <f t="shared" si="2"/>
        <v>1040.9000000000001</v>
      </c>
      <c r="I12" s="340">
        <f t="shared" si="3"/>
        <v>1457.26</v>
      </c>
      <c r="J12" s="341">
        <f t="shared" si="4"/>
        <v>495468.40000000008</v>
      </c>
      <c r="K12" s="358">
        <f t="shared" si="5"/>
        <v>183614.76000000004</v>
      </c>
      <c r="L12" s="358">
        <f t="shared" si="6"/>
        <v>138439.70000000001</v>
      </c>
      <c r="M12" s="358">
        <f t="shared" si="7"/>
        <v>173413.94</v>
      </c>
      <c r="N12" s="343">
        <f t="shared" si="8"/>
        <v>2982.4311456310684</v>
      </c>
      <c r="O12" s="342">
        <f t="shared" si="9"/>
        <v>1105.2538951456313</v>
      </c>
      <c r="P12" s="342">
        <f t="shared" si="0"/>
        <v>833.32634951456316</v>
      </c>
      <c r="Q12" s="342">
        <f t="shared" si="0"/>
        <v>1043.8509009708739</v>
      </c>
      <c r="R12" s="338">
        <v>693</v>
      </c>
      <c r="S12" s="344">
        <v>2838.4</v>
      </c>
      <c r="T12" s="344">
        <f t="shared" si="10"/>
        <v>105.07437801687811</v>
      </c>
      <c r="U12" s="344">
        <f t="shared" si="11"/>
        <v>144.03114563106828</v>
      </c>
      <c r="V12" s="345"/>
    </row>
    <row r="13" spans="1:23" s="346" customFormat="1" x14ac:dyDescent="0.25">
      <c r="A13" s="337" t="s">
        <v>196</v>
      </c>
      <c r="B13" s="338">
        <f t="shared" si="12"/>
        <v>530</v>
      </c>
      <c r="C13" s="339">
        <v>193</v>
      </c>
      <c r="D13" s="339">
        <v>167</v>
      </c>
      <c r="E13" s="339">
        <v>170</v>
      </c>
      <c r="F13" s="340">
        <v>1500</v>
      </c>
      <c r="G13" s="340">
        <f t="shared" si="1"/>
        <v>300</v>
      </c>
      <c r="H13" s="340">
        <f t="shared" si="2"/>
        <v>750</v>
      </c>
      <c r="I13" s="340">
        <f t="shared" si="3"/>
        <v>1050</v>
      </c>
      <c r="J13" s="341">
        <f t="shared" si="4"/>
        <v>361650</v>
      </c>
      <c r="K13" s="358">
        <f t="shared" si="5"/>
        <v>57900</v>
      </c>
      <c r="L13" s="358">
        <f t="shared" si="6"/>
        <v>125250</v>
      </c>
      <c r="M13" s="358">
        <f t="shared" si="7"/>
        <v>178500</v>
      </c>
      <c r="N13" s="343">
        <f t="shared" si="8"/>
        <v>2176.9223300970871</v>
      </c>
      <c r="O13" s="342">
        <f t="shared" si="9"/>
        <v>348.52427184466018</v>
      </c>
      <c r="P13" s="342">
        <f t="shared" si="0"/>
        <v>753.9320388349513</v>
      </c>
      <c r="Q13" s="342">
        <f t="shared" si="0"/>
        <v>1074.4660194174758</v>
      </c>
      <c r="R13" s="338">
        <v>530</v>
      </c>
      <c r="S13" s="344">
        <v>2176.9</v>
      </c>
      <c r="T13" s="344">
        <f t="shared" si="10"/>
        <v>100.00102577505108</v>
      </c>
      <c r="U13" s="344">
        <f t="shared" si="11"/>
        <v>2.233009708697864E-2</v>
      </c>
      <c r="V13" s="345"/>
    </row>
    <row r="14" spans="1:23" s="346" customFormat="1" x14ac:dyDescent="0.25">
      <c r="A14" s="337" t="s">
        <v>197</v>
      </c>
      <c r="B14" s="338">
        <f t="shared" si="12"/>
        <v>831</v>
      </c>
      <c r="C14" s="339">
        <v>381</v>
      </c>
      <c r="D14" s="339">
        <v>246</v>
      </c>
      <c r="E14" s="339">
        <v>204</v>
      </c>
      <c r="F14" s="340">
        <v>2046</v>
      </c>
      <c r="G14" s="340">
        <f t="shared" si="1"/>
        <v>409.20000000000005</v>
      </c>
      <c r="H14" s="340">
        <f t="shared" si="2"/>
        <v>1023</v>
      </c>
      <c r="I14" s="340">
        <f t="shared" si="3"/>
        <v>1432.1999999999998</v>
      </c>
      <c r="J14" s="341">
        <f t="shared" si="4"/>
        <v>699732</v>
      </c>
      <c r="K14" s="358">
        <f t="shared" si="5"/>
        <v>155905.20000000001</v>
      </c>
      <c r="L14" s="358">
        <f t="shared" si="6"/>
        <v>251658</v>
      </c>
      <c r="M14" s="358">
        <f t="shared" si="7"/>
        <v>292168.8</v>
      </c>
      <c r="N14" s="343">
        <f t="shared" si="8"/>
        <v>4211.9790291262134</v>
      </c>
      <c r="O14" s="342">
        <f t="shared" si="9"/>
        <v>938.45848543689317</v>
      </c>
      <c r="P14" s="342">
        <f t="shared" si="0"/>
        <v>1514.8345631067959</v>
      </c>
      <c r="Q14" s="342">
        <f t="shared" si="0"/>
        <v>1758.6859805825241</v>
      </c>
      <c r="R14" s="338">
        <v>831</v>
      </c>
      <c r="S14" s="344">
        <v>4212</v>
      </c>
      <c r="T14" s="344">
        <f t="shared" si="10"/>
        <v>99.999502116006965</v>
      </c>
      <c r="U14" s="344">
        <f t="shared" si="11"/>
        <v>-2.0970873786609445E-2</v>
      </c>
      <c r="V14" s="345"/>
    </row>
    <row r="15" spans="1:23" s="346" customFormat="1" x14ac:dyDescent="0.25">
      <c r="A15" s="337" t="s">
        <v>198</v>
      </c>
      <c r="B15" s="338">
        <f t="shared" si="12"/>
        <v>557</v>
      </c>
      <c r="C15" s="339">
        <v>173</v>
      </c>
      <c r="D15" s="339">
        <v>188</v>
      </c>
      <c r="E15" s="339">
        <v>196</v>
      </c>
      <c r="F15" s="340">
        <v>1610</v>
      </c>
      <c r="G15" s="340">
        <f t="shared" si="1"/>
        <v>322</v>
      </c>
      <c r="H15" s="340">
        <f t="shared" si="2"/>
        <v>805</v>
      </c>
      <c r="I15" s="340">
        <f t="shared" si="3"/>
        <v>1127</v>
      </c>
      <c r="J15" s="341">
        <f t="shared" si="4"/>
        <v>427938</v>
      </c>
      <c r="K15" s="358">
        <f t="shared" si="5"/>
        <v>55706</v>
      </c>
      <c r="L15" s="358">
        <f t="shared" si="6"/>
        <v>151340</v>
      </c>
      <c r="M15" s="358">
        <f t="shared" si="7"/>
        <v>220892</v>
      </c>
      <c r="N15" s="343">
        <f t="shared" si="8"/>
        <v>2575.9374757281553</v>
      </c>
      <c r="O15" s="342">
        <f t="shared" si="9"/>
        <v>335.31766990291266</v>
      </c>
      <c r="P15" s="342">
        <f t="shared" si="0"/>
        <v>910.97864077669908</v>
      </c>
      <c r="Q15" s="342">
        <f t="shared" si="0"/>
        <v>1329.6411650485436</v>
      </c>
      <c r="R15" s="338">
        <v>557</v>
      </c>
      <c r="S15" s="344">
        <v>2575.9</v>
      </c>
      <c r="T15" s="344">
        <f t="shared" si="10"/>
        <v>100.00145485958909</v>
      </c>
      <c r="U15" s="344">
        <f t="shared" si="11"/>
        <v>3.7475728155186516E-2</v>
      </c>
      <c r="V15" s="345"/>
    </row>
    <row r="16" spans="1:23" s="346" customFormat="1" x14ac:dyDescent="0.25">
      <c r="A16" s="337" t="s">
        <v>199</v>
      </c>
      <c r="B16" s="338">
        <f t="shared" si="12"/>
        <v>465</v>
      </c>
      <c r="C16" s="339">
        <v>122</v>
      </c>
      <c r="D16" s="339">
        <v>167</v>
      </c>
      <c r="E16" s="339">
        <v>176</v>
      </c>
      <c r="F16" s="340">
        <v>2000</v>
      </c>
      <c r="G16" s="340">
        <f t="shared" si="1"/>
        <v>400</v>
      </c>
      <c r="H16" s="340">
        <f t="shared" si="2"/>
        <v>1000</v>
      </c>
      <c r="I16" s="340">
        <f t="shared" si="3"/>
        <v>1400</v>
      </c>
      <c r="J16" s="341">
        <f t="shared" si="4"/>
        <v>462200</v>
      </c>
      <c r="K16" s="358">
        <f t="shared" si="5"/>
        <v>48800</v>
      </c>
      <c r="L16" s="358">
        <f t="shared" si="6"/>
        <v>167000</v>
      </c>
      <c r="M16" s="358">
        <f t="shared" si="7"/>
        <v>246400</v>
      </c>
      <c r="N16" s="343">
        <f t="shared" si="8"/>
        <v>2782.174757281553</v>
      </c>
      <c r="O16" s="342">
        <f t="shared" si="9"/>
        <v>293.74757281553394</v>
      </c>
      <c r="P16" s="342">
        <f t="shared" si="0"/>
        <v>1005.2427184466019</v>
      </c>
      <c r="Q16" s="342">
        <f t="shared" si="0"/>
        <v>1483.1844660194172</v>
      </c>
      <c r="R16" s="338">
        <v>465</v>
      </c>
      <c r="S16" s="344">
        <v>2595.6</v>
      </c>
      <c r="T16" s="344">
        <f t="shared" si="10"/>
        <v>107.18811670833537</v>
      </c>
      <c r="U16" s="344">
        <f t="shared" si="11"/>
        <v>186.57475728155305</v>
      </c>
      <c r="V16" s="345"/>
    </row>
    <row r="17" spans="1:22" s="346" customFormat="1" x14ac:dyDescent="0.25">
      <c r="A17" s="337" t="s">
        <v>200</v>
      </c>
      <c r="B17" s="338">
        <f t="shared" si="12"/>
        <v>1878</v>
      </c>
      <c r="C17" s="339">
        <v>625</v>
      </c>
      <c r="D17" s="339">
        <v>618</v>
      </c>
      <c r="E17" s="339">
        <v>635</v>
      </c>
      <c r="F17" s="340">
        <v>2292.31</v>
      </c>
      <c r="G17" s="340">
        <f t="shared" si="1"/>
        <v>458.46199999999999</v>
      </c>
      <c r="H17" s="340">
        <f t="shared" si="2"/>
        <v>1146.155</v>
      </c>
      <c r="I17" s="340">
        <f t="shared" si="3"/>
        <v>1604.617</v>
      </c>
      <c r="J17" s="341">
        <f t="shared" si="4"/>
        <v>2013794.335</v>
      </c>
      <c r="K17" s="358">
        <f t="shared" si="5"/>
        <v>286538.75</v>
      </c>
      <c r="L17" s="358">
        <f t="shared" si="6"/>
        <v>708323.79</v>
      </c>
      <c r="M17" s="358">
        <f t="shared" si="7"/>
        <v>1018931.7949999999</v>
      </c>
      <c r="N17" s="343">
        <f t="shared" si="8"/>
        <v>12121.868812621358</v>
      </c>
      <c r="O17" s="342">
        <f t="shared" si="9"/>
        <v>1724.7963592233009</v>
      </c>
      <c r="P17" s="342">
        <f t="shared" si="0"/>
        <v>4263.6966000000002</v>
      </c>
      <c r="Q17" s="342">
        <f t="shared" si="0"/>
        <v>6133.3758533980572</v>
      </c>
      <c r="R17" s="338">
        <v>1878</v>
      </c>
      <c r="S17" s="344">
        <v>11080.1</v>
      </c>
      <c r="T17" s="344">
        <f t="shared" si="10"/>
        <v>109.40216074422938</v>
      </c>
      <c r="U17" s="344">
        <f t="shared" si="11"/>
        <v>1041.7688126213579</v>
      </c>
      <c r="V17" s="345"/>
    </row>
    <row r="18" spans="1:22" s="346" customFormat="1" x14ac:dyDescent="0.25">
      <c r="A18" s="337" t="s">
        <v>201</v>
      </c>
      <c r="B18" s="338">
        <f t="shared" si="12"/>
        <v>507</v>
      </c>
      <c r="C18" s="339">
        <v>146</v>
      </c>
      <c r="D18" s="339">
        <v>200</v>
      </c>
      <c r="E18" s="339">
        <v>161</v>
      </c>
      <c r="F18" s="340">
        <v>1800</v>
      </c>
      <c r="G18" s="340">
        <f t="shared" si="1"/>
        <v>360</v>
      </c>
      <c r="H18" s="340">
        <f t="shared" si="2"/>
        <v>900</v>
      </c>
      <c r="I18" s="340">
        <f t="shared" si="3"/>
        <v>1260</v>
      </c>
      <c r="J18" s="341">
        <f t="shared" si="4"/>
        <v>435420</v>
      </c>
      <c r="K18" s="358">
        <f t="shared" si="5"/>
        <v>52560</v>
      </c>
      <c r="L18" s="358">
        <f t="shared" si="6"/>
        <v>180000</v>
      </c>
      <c r="M18" s="358">
        <f t="shared" si="7"/>
        <v>202860</v>
      </c>
      <c r="N18" s="343">
        <f t="shared" si="8"/>
        <v>2620.9747572815536</v>
      </c>
      <c r="O18" s="342">
        <f t="shared" si="9"/>
        <v>316.3805825242718</v>
      </c>
      <c r="P18" s="342">
        <f t="shared" si="0"/>
        <v>1083.495145631068</v>
      </c>
      <c r="Q18" s="342">
        <f t="shared" si="0"/>
        <v>1221.0990291262137</v>
      </c>
      <c r="R18" s="338">
        <v>507</v>
      </c>
      <c r="S18" s="344">
        <v>2621</v>
      </c>
      <c r="T18" s="344">
        <f t="shared" si="10"/>
        <v>99.999036905057366</v>
      </c>
      <c r="U18" s="344">
        <f t="shared" si="11"/>
        <v>-2.5242718446406798E-2</v>
      </c>
      <c r="V18" s="345"/>
    </row>
    <row r="19" spans="1:22" s="346" customFormat="1" x14ac:dyDescent="0.25">
      <c r="A19" s="337" t="s">
        <v>202</v>
      </c>
      <c r="B19" s="338">
        <f t="shared" si="12"/>
        <v>416</v>
      </c>
      <c r="C19" s="339">
        <v>159</v>
      </c>
      <c r="D19" s="339">
        <v>128</v>
      </c>
      <c r="E19" s="339">
        <v>129</v>
      </c>
      <c r="F19" s="340">
        <v>2000</v>
      </c>
      <c r="G19" s="340">
        <f t="shared" si="1"/>
        <v>400</v>
      </c>
      <c r="H19" s="340">
        <f t="shared" si="2"/>
        <v>1000</v>
      </c>
      <c r="I19" s="340">
        <f t="shared" si="3"/>
        <v>1400</v>
      </c>
      <c r="J19" s="341">
        <f t="shared" si="4"/>
        <v>372200</v>
      </c>
      <c r="K19" s="358">
        <f t="shared" si="5"/>
        <v>63600</v>
      </c>
      <c r="L19" s="358">
        <f t="shared" si="6"/>
        <v>128000</v>
      </c>
      <c r="M19" s="358">
        <f t="shared" si="7"/>
        <v>180600</v>
      </c>
      <c r="N19" s="343">
        <f t="shared" si="8"/>
        <v>2240.4271844660188</v>
      </c>
      <c r="O19" s="342">
        <f t="shared" si="9"/>
        <v>382.83495145631065</v>
      </c>
      <c r="P19" s="342">
        <f t="shared" si="0"/>
        <v>770.48543689320388</v>
      </c>
      <c r="Q19" s="342">
        <f t="shared" si="0"/>
        <v>1087.1067961165045</v>
      </c>
      <c r="R19" s="338">
        <v>416</v>
      </c>
      <c r="S19" s="344">
        <v>2240.4</v>
      </c>
      <c r="T19" s="344">
        <f t="shared" si="10"/>
        <v>100.00121337555879</v>
      </c>
      <c r="U19" s="344">
        <f t="shared" si="11"/>
        <v>2.7184466018752573E-2</v>
      </c>
      <c r="V19" s="345"/>
    </row>
    <row r="20" spans="1:22" s="346" customFormat="1" ht="16.5" customHeight="1" x14ac:dyDescent="0.25">
      <c r="A20" s="337" t="s">
        <v>203</v>
      </c>
      <c r="B20" s="338">
        <f t="shared" si="12"/>
        <v>587</v>
      </c>
      <c r="C20" s="339">
        <v>259</v>
      </c>
      <c r="D20" s="339">
        <v>188</v>
      </c>
      <c r="E20" s="339">
        <v>140</v>
      </c>
      <c r="F20" s="340">
        <v>1825</v>
      </c>
      <c r="G20" s="340">
        <f t="shared" si="1"/>
        <v>365</v>
      </c>
      <c r="H20" s="340">
        <f t="shared" si="2"/>
        <v>912.5</v>
      </c>
      <c r="I20" s="340">
        <f t="shared" si="3"/>
        <v>1277.5</v>
      </c>
      <c r="J20" s="341">
        <f t="shared" si="4"/>
        <v>444935</v>
      </c>
      <c r="K20" s="358">
        <f t="shared" si="5"/>
        <v>94535</v>
      </c>
      <c r="L20" s="358">
        <f t="shared" si="6"/>
        <v>171550</v>
      </c>
      <c r="M20" s="358">
        <f t="shared" si="7"/>
        <v>178850</v>
      </c>
      <c r="N20" s="343">
        <f t="shared" si="8"/>
        <v>2678.2495145631065</v>
      </c>
      <c r="O20" s="342">
        <f t="shared" si="9"/>
        <v>569.04563106796115</v>
      </c>
      <c r="P20" s="342">
        <f t="shared" si="0"/>
        <v>1032.6310679611649</v>
      </c>
      <c r="Q20" s="342">
        <f t="shared" si="0"/>
        <v>1076.5728155339805</v>
      </c>
      <c r="R20" s="338">
        <v>587</v>
      </c>
      <c r="S20" s="344">
        <v>2678.2</v>
      </c>
      <c r="T20" s="344">
        <f t="shared" si="10"/>
        <v>100.00184880005625</v>
      </c>
      <c r="U20" s="344">
        <f t="shared" si="11"/>
        <v>4.9514563106640708E-2</v>
      </c>
      <c r="V20" s="345"/>
    </row>
    <row r="21" spans="1:22" s="346" customFormat="1" x14ac:dyDescent="0.25">
      <c r="A21" s="337" t="s">
        <v>204</v>
      </c>
      <c r="B21" s="338">
        <f t="shared" si="12"/>
        <v>90</v>
      </c>
      <c r="C21" s="339">
        <v>41</v>
      </c>
      <c r="D21" s="339">
        <v>23</v>
      </c>
      <c r="E21" s="339">
        <v>26</v>
      </c>
      <c r="F21" s="340">
        <v>2800</v>
      </c>
      <c r="G21" s="340">
        <f t="shared" si="1"/>
        <v>560</v>
      </c>
      <c r="H21" s="340">
        <f t="shared" si="2"/>
        <v>1400</v>
      </c>
      <c r="I21" s="340">
        <f t="shared" si="3"/>
        <v>1959.9999999999998</v>
      </c>
      <c r="J21" s="341">
        <f t="shared" si="4"/>
        <v>106120</v>
      </c>
      <c r="K21" s="358">
        <f t="shared" si="5"/>
        <v>22960</v>
      </c>
      <c r="L21" s="358">
        <f t="shared" si="6"/>
        <v>32200</v>
      </c>
      <c r="M21" s="358">
        <f t="shared" si="7"/>
        <v>50959.999999999993</v>
      </c>
      <c r="N21" s="343">
        <f t="shared" si="8"/>
        <v>638.78058252427172</v>
      </c>
      <c r="O21" s="342">
        <f t="shared" si="9"/>
        <v>138.20582524271845</v>
      </c>
      <c r="P21" s="342">
        <f t="shared" si="9"/>
        <v>193.82524271844659</v>
      </c>
      <c r="Q21" s="342">
        <f t="shared" si="9"/>
        <v>306.74951456310669</v>
      </c>
      <c r="R21" s="338">
        <v>90</v>
      </c>
      <c r="S21" s="344">
        <v>638.70000000000005</v>
      </c>
      <c r="T21" s="344">
        <f t="shared" si="10"/>
        <v>100.01261664698163</v>
      </c>
      <c r="U21" s="344">
        <f t="shared" si="11"/>
        <v>8.0582524271676448E-2</v>
      </c>
      <c r="V21" s="345"/>
    </row>
    <row r="22" spans="1:22" s="346" customFormat="1" x14ac:dyDescent="0.25">
      <c r="A22" s="359" t="s">
        <v>205</v>
      </c>
      <c r="B22" s="338">
        <f t="shared" si="12"/>
        <v>7273</v>
      </c>
      <c r="C22" s="339">
        <v>2780</v>
      </c>
      <c r="D22" s="339">
        <v>3117</v>
      </c>
      <c r="E22" s="339">
        <v>1376</v>
      </c>
      <c r="F22" s="340">
        <v>2800</v>
      </c>
      <c r="G22" s="340">
        <f t="shared" si="1"/>
        <v>560</v>
      </c>
      <c r="H22" s="340">
        <f t="shared" si="2"/>
        <v>1400</v>
      </c>
      <c r="I22" s="340">
        <f t="shared" si="3"/>
        <v>1959.9999999999998</v>
      </c>
      <c r="J22" s="341">
        <f t="shared" si="4"/>
        <v>8617560</v>
      </c>
      <c r="K22" s="358">
        <f t="shared" si="5"/>
        <v>1556800</v>
      </c>
      <c r="L22" s="358">
        <f t="shared" si="6"/>
        <v>4363800</v>
      </c>
      <c r="M22" s="358">
        <f t="shared" si="7"/>
        <v>2696959.9999999995</v>
      </c>
      <c r="N22" s="343">
        <f t="shared" si="8"/>
        <v>51872.691262135915</v>
      </c>
      <c r="O22" s="342">
        <f t="shared" si="9"/>
        <v>9371.0291262135906</v>
      </c>
      <c r="P22" s="342">
        <f t="shared" si="9"/>
        <v>26267.533980582524</v>
      </c>
      <c r="Q22" s="342">
        <f t="shared" si="9"/>
        <v>16234.128155339802</v>
      </c>
      <c r="R22" s="338">
        <v>7273</v>
      </c>
      <c r="S22" s="344">
        <v>50468.7</v>
      </c>
      <c r="T22" s="344">
        <f t="shared" si="10"/>
        <v>102.78190494729589</v>
      </c>
      <c r="U22" s="344">
        <f t="shared" si="11"/>
        <v>1403.9912621359181</v>
      </c>
      <c r="V22" s="345"/>
    </row>
    <row r="23" spans="1:22" s="346" customFormat="1" x14ac:dyDescent="0.25">
      <c r="A23" s="337" t="s">
        <v>206</v>
      </c>
      <c r="B23" s="338">
        <f t="shared" si="12"/>
        <v>1393</v>
      </c>
      <c r="C23" s="339">
        <v>522</v>
      </c>
      <c r="D23" s="339">
        <v>442</v>
      </c>
      <c r="E23" s="339">
        <v>429</v>
      </c>
      <c r="F23" s="340">
        <v>2886</v>
      </c>
      <c r="G23" s="340">
        <f t="shared" si="1"/>
        <v>577.20000000000005</v>
      </c>
      <c r="H23" s="340">
        <f t="shared" si="2"/>
        <v>1443</v>
      </c>
      <c r="I23" s="340">
        <f t="shared" si="3"/>
        <v>2020.1999999999998</v>
      </c>
      <c r="J23" s="341">
        <f t="shared" si="4"/>
        <v>1805770.2</v>
      </c>
      <c r="K23" s="358">
        <f t="shared" si="5"/>
        <v>301298.40000000002</v>
      </c>
      <c r="L23" s="358">
        <f t="shared" si="6"/>
        <v>637806</v>
      </c>
      <c r="M23" s="358">
        <f t="shared" si="7"/>
        <v>866665.79999999993</v>
      </c>
      <c r="N23" s="343">
        <f t="shared" si="8"/>
        <v>10869.684699029125</v>
      </c>
      <c r="O23" s="342">
        <f t="shared" si="9"/>
        <v>1813.640854368932</v>
      </c>
      <c r="P23" s="342">
        <f t="shared" si="9"/>
        <v>3839.2205825242718</v>
      </c>
      <c r="Q23" s="342">
        <f t="shared" si="9"/>
        <v>5216.8232621359211</v>
      </c>
      <c r="R23" s="338">
        <v>1393</v>
      </c>
      <c r="S23" s="344">
        <v>10869.6</v>
      </c>
      <c r="T23" s="344">
        <f t="shared" si="10"/>
        <v>100.00077922857442</v>
      </c>
      <c r="U23" s="344">
        <f t="shared" si="11"/>
        <v>8.4699029124749359E-2</v>
      </c>
      <c r="V23" s="345"/>
    </row>
    <row r="24" spans="1:22" s="367" customFormat="1" x14ac:dyDescent="0.25">
      <c r="A24" s="360" t="s">
        <v>90</v>
      </c>
      <c r="B24" s="361">
        <f t="shared" ref="B24:G24" si="13">SUM(B5:B23)</f>
        <v>23882</v>
      </c>
      <c r="C24" s="362">
        <f t="shared" si="13"/>
        <v>8831</v>
      </c>
      <c r="D24" s="362">
        <f t="shared" si="13"/>
        <v>8549</v>
      </c>
      <c r="E24" s="362">
        <f t="shared" si="13"/>
        <v>6502</v>
      </c>
      <c r="F24" s="363">
        <f t="shared" si="13"/>
        <v>39917.210000000006</v>
      </c>
      <c r="G24" s="343">
        <f t="shared" si="13"/>
        <v>7983.442</v>
      </c>
      <c r="H24" s="343">
        <f t="shared" ref="H24:S24" si="14">SUM(H5:H23)</f>
        <v>19958.605000000003</v>
      </c>
      <c r="I24" s="343">
        <f t="shared" si="14"/>
        <v>27942.046999999999</v>
      </c>
      <c r="J24" s="343">
        <f t="shared" si="14"/>
        <v>24226684.085000001</v>
      </c>
      <c r="K24" s="364">
        <f t="shared" si="14"/>
        <v>4106624.35</v>
      </c>
      <c r="L24" s="364">
        <f t="shared" si="14"/>
        <v>10001321.84</v>
      </c>
      <c r="M24" s="364">
        <f t="shared" si="14"/>
        <v>10118737.895</v>
      </c>
      <c r="N24" s="343">
        <f t="shared" si="14"/>
        <v>145830.52556019416</v>
      </c>
      <c r="O24" s="364">
        <f t="shared" si="14"/>
        <v>24719.486378640773</v>
      </c>
      <c r="P24" s="364">
        <f t="shared" si="14"/>
        <v>60202.131464077662</v>
      </c>
      <c r="Q24" s="364">
        <f t="shared" si="14"/>
        <v>60908.907717475704</v>
      </c>
      <c r="R24" s="361">
        <f t="shared" si="14"/>
        <v>23882</v>
      </c>
      <c r="S24" s="365">
        <f t="shared" si="14"/>
        <v>142458.4</v>
      </c>
      <c r="T24" s="365">
        <f>N24/S24*100</f>
        <v>102.36709492749753</v>
      </c>
      <c r="U24" s="365">
        <f t="shared" si="11"/>
        <v>3372.1255601941666</v>
      </c>
      <c r="V24" s="366"/>
    </row>
    <row r="25" spans="1:22" x14ac:dyDescent="0.25">
      <c r="V25" s="368"/>
    </row>
    <row r="26" spans="1:22" x14ac:dyDescent="0.25">
      <c r="B26" s="1">
        <v>25579</v>
      </c>
    </row>
    <row r="27" spans="1:22" x14ac:dyDescent="0.25">
      <c r="B27" s="369">
        <f>B26-B24</f>
        <v>1697</v>
      </c>
    </row>
    <row r="28" spans="1:22" s="1" customFormat="1" x14ac:dyDescent="0.25">
      <c r="A28" s="1" t="s">
        <v>293</v>
      </c>
      <c r="J28" s="1">
        <v>25579</v>
      </c>
    </row>
    <row r="29" spans="1:22" s="1" customFormat="1" x14ac:dyDescent="0.25">
      <c r="J29" s="1">
        <f>J28-B24</f>
        <v>1697</v>
      </c>
    </row>
  </sheetData>
  <mergeCells count="14">
    <mergeCell ref="R3:R4"/>
    <mergeCell ref="S3:S4"/>
    <mergeCell ref="T3:T4"/>
    <mergeCell ref="U3:U4"/>
    <mergeCell ref="A1:U1"/>
    <mergeCell ref="A3:A4"/>
    <mergeCell ref="B3:B4"/>
    <mergeCell ref="C3:E3"/>
    <mergeCell ref="F3:F4"/>
    <mergeCell ref="G3:I3"/>
    <mergeCell ref="J3:J4"/>
    <mergeCell ref="K3:M3"/>
    <mergeCell ref="N3:N4"/>
    <mergeCell ref="O3:Q3"/>
  </mergeCells>
  <pageMargins left="0.7" right="0.7" top="0.75" bottom="0.75" header="0.3" footer="0.3"/>
  <pageSetup paperSize="9" scale="30" orientation="portrait" r:id="rId1"/>
  <colBreaks count="1" manualBreakCount="1">
    <brk id="6" max="2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B29"/>
  <sheetViews>
    <sheetView tabSelected="1" view="pageBreakPreview" zoomScale="85" zoomScaleNormal="100" zoomScaleSheetLayoutView="85" workbookViewId="0">
      <selection activeCell="J30" sqref="J30"/>
    </sheetView>
  </sheetViews>
  <sheetFormatPr defaultRowHeight="15.75" x14ac:dyDescent="0.25"/>
  <cols>
    <col min="1" max="1" width="30.7109375" style="1" customWidth="1"/>
    <col min="2" max="2" width="19.85546875" style="1" customWidth="1"/>
    <col min="3" max="3" width="19.85546875" style="1" hidden="1" customWidth="1"/>
    <col min="4" max="4" width="21.42578125" style="1" hidden="1" customWidth="1"/>
    <col min="5" max="5" width="17.5703125" style="1" customWidth="1"/>
    <col min="6" max="6" width="17.5703125" style="1" hidden="1" customWidth="1"/>
    <col min="7" max="7" width="17.5703125" style="1" customWidth="1"/>
    <col min="8" max="8" width="17.5703125" style="1" hidden="1" customWidth="1"/>
    <col min="9" max="13" width="17.5703125" style="1" customWidth="1"/>
    <col min="14" max="21" width="20" style="1" customWidth="1"/>
    <col min="22" max="22" width="24.85546875" style="1" customWidth="1"/>
    <col min="23" max="24" width="21.42578125" style="1" customWidth="1"/>
    <col min="25" max="26" width="9.140625" style="1"/>
  </cols>
  <sheetData>
    <row r="1" spans="1:28" s="1" customFormat="1" ht="35.25" customHeight="1" x14ac:dyDescent="0.25">
      <c r="A1" s="754" t="s">
        <v>280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 t="s">
        <v>280</v>
      </c>
      <c r="P1" s="754"/>
      <c r="Q1" s="754"/>
      <c r="R1" s="754"/>
      <c r="S1" s="754"/>
      <c r="T1" s="754"/>
      <c r="U1" s="754"/>
      <c r="V1" s="754"/>
      <c r="W1" s="754"/>
      <c r="X1" s="754"/>
      <c r="Y1" s="657"/>
      <c r="Z1" s="657"/>
      <c r="AA1" s="657"/>
      <c r="AB1" s="657"/>
    </row>
    <row r="2" spans="1:28" s="1" customFormat="1" ht="35.25" customHeight="1" x14ac:dyDescent="0.25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</row>
    <row r="3" spans="1:28" s="334" customFormat="1" ht="67.5" customHeight="1" x14ac:dyDescent="0.25">
      <c r="A3" s="755" t="s">
        <v>281</v>
      </c>
      <c r="B3" s="752" t="s">
        <v>413</v>
      </c>
      <c r="C3" s="331"/>
      <c r="D3" s="751" t="s">
        <v>283</v>
      </c>
      <c r="E3" s="751"/>
      <c r="F3" s="751"/>
      <c r="G3" s="751"/>
      <c r="H3" s="751"/>
      <c r="I3" s="751"/>
      <c r="J3" s="751" t="s">
        <v>284</v>
      </c>
      <c r="K3" s="757" t="s">
        <v>81</v>
      </c>
      <c r="L3" s="757"/>
      <c r="M3" s="757"/>
      <c r="N3" s="751" t="s">
        <v>285</v>
      </c>
      <c r="O3" s="757" t="s">
        <v>81</v>
      </c>
      <c r="P3" s="757"/>
      <c r="Q3" s="757"/>
      <c r="R3" s="751" t="s">
        <v>286</v>
      </c>
      <c r="S3" s="757" t="s">
        <v>81</v>
      </c>
      <c r="T3" s="757"/>
      <c r="U3" s="757"/>
      <c r="V3" s="757" t="s">
        <v>304</v>
      </c>
      <c r="W3" s="757"/>
      <c r="X3" s="752" t="s">
        <v>305</v>
      </c>
      <c r="Y3" s="333"/>
      <c r="Z3" s="333"/>
    </row>
    <row r="4" spans="1:28" s="1" customFormat="1" ht="78.75" x14ac:dyDescent="0.25">
      <c r="A4" s="756"/>
      <c r="B4" s="753"/>
      <c r="C4" s="335" t="s">
        <v>306</v>
      </c>
      <c r="D4" s="380" t="s">
        <v>307</v>
      </c>
      <c r="E4" s="336" t="s">
        <v>289</v>
      </c>
      <c r="F4" s="380" t="s">
        <v>308</v>
      </c>
      <c r="G4" s="336" t="s">
        <v>414</v>
      </c>
      <c r="H4" s="380" t="s">
        <v>309</v>
      </c>
      <c r="I4" s="336" t="s">
        <v>415</v>
      </c>
      <c r="J4" s="751"/>
      <c r="K4" s="336" t="s">
        <v>290</v>
      </c>
      <c r="L4" s="336" t="s">
        <v>291</v>
      </c>
      <c r="M4" s="336" t="s">
        <v>292</v>
      </c>
      <c r="N4" s="751"/>
      <c r="O4" s="336" t="s">
        <v>290</v>
      </c>
      <c r="P4" s="336" t="s">
        <v>291</v>
      </c>
      <c r="Q4" s="336" t="s">
        <v>292</v>
      </c>
      <c r="R4" s="751"/>
      <c r="S4" s="336" t="s">
        <v>290</v>
      </c>
      <c r="T4" s="336" t="s">
        <v>291</v>
      </c>
      <c r="U4" s="336" t="s">
        <v>292</v>
      </c>
      <c r="V4" s="332" t="s">
        <v>310</v>
      </c>
      <c r="W4" s="332" t="s">
        <v>311</v>
      </c>
      <c r="X4" s="753"/>
    </row>
    <row r="5" spans="1:28" s="346" customFormat="1" x14ac:dyDescent="0.25">
      <c r="A5" s="337" t="s">
        <v>188</v>
      </c>
      <c r="B5" s="338">
        <v>692</v>
      </c>
      <c r="C5" s="338">
        <v>692.69200000000001</v>
      </c>
      <c r="D5" s="381">
        <v>0.30499999999999999</v>
      </c>
      <c r="E5" s="339">
        <v>211.06</v>
      </c>
      <c r="F5" s="381">
        <v>0.34200000000000003</v>
      </c>
      <c r="G5" s="339">
        <v>236.66400000000002</v>
      </c>
      <c r="H5" s="381">
        <v>0.35399999999999998</v>
      </c>
      <c r="I5" s="339">
        <v>244.96799999999999</v>
      </c>
      <c r="J5" s="340">
        <v>1800</v>
      </c>
      <c r="K5" s="340">
        <v>360</v>
      </c>
      <c r="L5" s="340">
        <v>900</v>
      </c>
      <c r="M5" s="340">
        <v>1260</v>
      </c>
      <c r="N5" s="341">
        <v>597638.88</v>
      </c>
      <c r="O5" s="342">
        <v>75981.600000000006</v>
      </c>
      <c r="P5" s="342">
        <v>212997.6</v>
      </c>
      <c r="Q5" s="342">
        <v>308659.68</v>
      </c>
      <c r="R5" s="341">
        <v>3597.4379184466015</v>
      </c>
      <c r="S5" s="342">
        <v>457.36497087378638</v>
      </c>
      <c r="T5" s="342">
        <v>1282.121475728155</v>
      </c>
      <c r="U5" s="342">
        <v>1857.9514718446601</v>
      </c>
      <c r="V5" s="338">
        <v>673</v>
      </c>
      <c r="W5" s="344">
        <v>3495.3553398058252</v>
      </c>
      <c r="X5" s="344">
        <v>102.08257864077632</v>
      </c>
      <c r="Y5" s="345"/>
    </row>
    <row r="6" spans="1:28" s="357" customFormat="1" x14ac:dyDescent="0.25">
      <c r="A6" s="347" t="s">
        <v>189</v>
      </c>
      <c r="B6" s="354">
        <v>986</v>
      </c>
      <c r="C6" s="354">
        <v>986</v>
      </c>
      <c r="D6" s="382">
        <v>0.36199999999999999</v>
      </c>
      <c r="E6" s="348">
        <v>356.93200000000002</v>
      </c>
      <c r="F6" s="382">
        <v>0.33</v>
      </c>
      <c r="G6" s="348">
        <v>325.38</v>
      </c>
      <c r="H6" s="382">
        <v>0.308</v>
      </c>
      <c r="I6" s="348">
        <v>303.68799999999999</v>
      </c>
      <c r="J6" s="349">
        <v>2300</v>
      </c>
      <c r="K6" s="349">
        <v>460</v>
      </c>
      <c r="L6" s="349">
        <v>1150</v>
      </c>
      <c r="M6" s="349">
        <v>1610</v>
      </c>
      <c r="N6" s="350">
        <v>1027313.3999999999</v>
      </c>
      <c r="O6" s="351">
        <v>164188.72</v>
      </c>
      <c r="P6" s="351">
        <v>374187</v>
      </c>
      <c r="Q6" s="351">
        <v>488937.68</v>
      </c>
      <c r="R6" s="350">
        <v>6183.8282330097081</v>
      </c>
      <c r="S6" s="353">
        <v>988.32045048543682</v>
      </c>
      <c r="T6" s="353">
        <v>2252.3877669902909</v>
      </c>
      <c r="U6" s="353">
        <v>2943.1200155339802</v>
      </c>
      <c r="V6" s="354">
        <v>952</v>
      </c>
      <c r="W6" s="355">
        <v>5968.4330097087377</v>
      </c>
      <c r="X6" s="355">
        <v>215.39522330097043</v>
      </c>
      <c r="Y6" s="356"/>
    </row>
    <row r="7" spans="1:28" s="346" customFormat="1" x14ac:dyDescent="0.25">
      <c r="A7" s="337" t="s">
        <v>190</v>
      </c>
      <c r="B7" s="338">
        <v>2052</v>
      </c>
      <c r="C7" s="338">
        <v>2054.0520000000001</v>
      </c>
      <c r="D7" s="381">
        <v>0.32500000000000001</v>
      </c>
      <c r="E7" s="339">
        <v>666.9</v>
      </c>
      <c r="F7" s="381">
        <v>0.35099999999999998</v>
      </c>
      <c r="G7" s="339">
        <v>720.25199999999995</v>
      </c>
      <c r="H7" s="381">
        <v>0.32500000000000001</v>
      </c>
      <c r="I7" s="339">
        <v>666.9</v>
      </c>
      <c r="J7" s="340">
        <v>1595</v>
      </c>
      <c r="K7" s="340">
        <v>319</v>
      </c>
      <c r="L7" s="340">
        <v>797.5</v>
      </c>
      <c r="M7" s="340">
        <v>1116.5</v>
      </c>
      <c r="N7" s="341">
        <v>1531735.92</v>
      </c>
      <c r="O7" s="358">
        <v>212741.1</v>
      </c>
      <c r="P7" s="358">
        <v>574400.97</v>
      </c>
      <c r="Q7" s="358">
        <v>744593.85</v>
      </c>
      <c r="R7" s="341">
        <v>9220.1579650485437</v>
      </c>
      <c r="S7" s="342">
        <v>1280.577495145631</v>
      </c>
      <c r="T7" s="342">
        <v>3457.5592368932034</v>
      </c>
      <c r="U7" s="342">
        <v>4482.0212330097083</v>
      </c>
      <c r="V7" s="338">
        <v>2462</v>
      </c>
      <c r="W7" s="344">
        <v>11053.59776699029</v>
      </c>
      <c r="X7" s="344">
        <v>-1833.4398019417458</v>
      </c>
      <c r="Y7" s="345"/>
    </row>
    <row r="8" spans="1:28" s="357" customFormat="1" x14ac:dyDescent="0.25">
      <c r="A8" s="347" t="s">
        <v>191</v>
      </c>
      <c r="B8" s="354">
        <v>1114</v>
      </c>
      <c r="C8" s="354">
        <v>1112.886</v>
      </c>
      <c r="D8" s="382">
        <v>0.33700000000000002</v>
      </c>
      <c r="E8" s="348">
        <v>375.41800000000001</v>
      </c>
      <c r="F8" s="382">
        <v>0.33700000000000002</v>
      </c>
      <c r="G8" s="348">
        <v>375.41800000000001</v>
      </c>
      <c r="H8" s="382">
        <v>0.32500000000000001</v>
      </c>
      <c r="I8" s="348">
        <v>362.05</v>
      </c>
      <c r="J8" s="349">
        <v>1658.6</v>
      </c>
      <c r="K8" s="349">
        <v>331.72</v>
      </c>
      <c r="L8" s="349">
        <v>829.3</v>
      </c>
      <c r="M8" s="349">
        <v>1161.0199999999998</v>
      </c>
      <c r="N8" s="350">
        <v>856215.09736000001</v>
      </c>
      <c r="O8" s="351">
        <v>124533.65896000002</v>
      </c>
      <c r="P8" s="351">
        <v>311334.14740000002</v>
      </c>
      <c r="Q8" s="351">
        <v>420347.29099999991</v>
      </c>
      <c r="R8" s="350">
        <v>5153.9161200310673</v>
      </c>
      <c r="S8" s="353">
        <v>749.62008306019413</v>
      </c>
      <c r="T8" s="353">
        <v>1874.0502076504852</v>
      </c>
      <c r="U8" s="353">
        <v>2530.2458293203881</v>
      </c>
      <c r="V8" s="354">
        <v>1162</v>
      </c>
      <c r="W8" s="355">
        <v>5381.2713398058249</v>
      </c>
      <c r="X8" s="355">
        <v>-227.35521977475764</v>
      </c>
      <c r="Y8" s="356"/>
    </row>
    <row r="9" spans="1:28" s="346" customFormat="1" x14ac:dyDescent="0.25">
      <c r="A9" s="337" t="s">
        <v>192</v>
      </c>
      <c r="B9" s="338">
        <v>2191</v>
      </c>
      <c r="C9" s="338">
        <v>2191</v>
      </c>
      <c r="D9" s="381">
        <v>0.38</v>
      </c>
      <c r="E9" s="339">
        <v>832.58</v>
      </c>
      <c r="F9" s="381">
        <v>0.33800000000000002</v>
      </c>
      <c r="G9" s="339">
        <v>740.55800000000011</v>
      </c>
      <c r="H9" s="381">
        <v>0.28199999999999997</v>
      </c>
      <c r="I9" s="339">
        <v>617.86199999999997</v>
      </c>
      <c r="J9" s="340">
        <v>2562.5</v>
      </c>
      <c r="K9" s="340">
        <v>512.5</v>
      </c>
      <c r="L9" s="340">
        <v>1281.25</v>
      </c>
      <c r="M9" s="340">
        <v>1793.7499999999998</v>
      </c>
      <c r="N9" s="341">
        <v>2483827.15</v>
      </c>
      <c r="O9" s="358">
        <v>426697.25</v>
      </c>
      <c r="P9" s="358">
        <v>948839.93750000012</v>
      </c>
      <c r="Q9" s="358">
        <v>1108289.9624999999</v>
      </c>
      <c r="R9" s="341">
        <v>14951.192553398057</v>
      </c>
      <c r="S9" s="342">
        <v>2568.4688834951453</v>
      </c>
      <c r="T9" s="342">
        <v>5711.4637014563114</v>
      </c>
      <c r="U9" s="342">
        <v>6671.2599684466013</v>
      </c>
      <c r="V9" s="338">
        <v>2195</v>
      </c>
      <c r="W9" s="344">
        <v>14989.779126213591</v>
      </c>
      <c r="X9" s="344">
        <v>-38.586572815533145</v>
      </c>
      <c r="Y9" s="345"/>
    </row>
    <row r="10" spans="1:28" s="346" customFormat="1" x14ac:dyDescent="0.25">
      <c r="A10" s="337" t="s">
        <v>193</v>
      </c>
      <c r="B10" s="338">
        <v>537</v>
      </c>
      <c r="C10" s="338">
        <v>537</v>
      </c>
      <c r="D10" s="381">
        <v>0.41799999999999998</v>
      </c>
      <c r="E10" s="339">
        <v>224.46599999999998</v>
      </c>
      <c r="F10" s="381">
        <v>0.314</v>
      </c>
      <c r="G10" s="339">
        <v>168.61799999999999</v>
      </c>
      <c r="H10" s="381">
        <v>0.26800000000000002</v>
      </c>
      <c r="I10" s="339">
        <v>143.916</v>
      </c>
      <c r="J10" s="340">
        <v>2560</v>
      </c>
      <c r="K10" s="340">
        <v>512</v>
      </c>
      <c r="L10" s="340">
        <v>1280</v>
      </c>
      <c r="M10" s="340">
        <v>1792</v>
      </c>
      <c r="N10" s="341">
        <v>588655.10400000005</v>
      </c>
      <c r="O10" s="358">
        <v>114926.59199999999</v>
      </c>
      <c r="P10" s="358">
        <v>215831.03999999998</v>
      </c>
      <c r="Q10" s="358">
        <v>257897.47200000001</v>
      </c>
      <c r="R10" s="341">
        <v>3543.3608201941743</v>
      </c>
      <c r="S10" s="342">
        <v>691.79113631067946</v>
      </c>
      <c r="T10" s="342">
        <v>1299.1771339805823</v>
      </c>
      <c r="U10" s="342">
        <v>1552.3925499029126</v>
      </c>
      <c r="V10" s="338">
        <v>522</v>
      </c>
      <c r="W10" s="344">
        <v>3445.6108737864074</v>
      </c>
      <c r="X10" s="344">
        <v>97.749946407766856</v>
      </c>
      <c r="Y10" s="345"/>
    </row>
    <row r="11" spans="1:28" s="346" customFormat="1" x14ac:dyDescent="0.25">
      <c r="A11" s="337" t="s">
        <v>194</v>
      </c>
      <c r="B11" s="338">
        <v>719</v>
      </c>
      <c r="C11" s="338">
        <v>719</v>
      </c>
      <c r="D11" s="381">
        <v>0.28699999999999998</v>
      </c>
      <c r="E11" s="339">
        <v>206.35299999999998</v>
      </c>
      <c r="F11" s="381">
        <v>0.32800000000000001</v>
      </c>
      <c r="G11" s="339">
        <v>235.83200000000002</v>
      </c>
      <c r="H11" s="381">
        <v>0.38500000000000001</v>
      </c>
      <c r="I11" s="339">
        <v>276.815</v>
      </c>
      <c r="J11" s="340">
        <v>1800</v>
      </c>
      <c r="K11" s="340">
        <v>360</v>
      </c>
      <c r="L11" s="340">
        <v>900</v>
      </c>
      <c r="M11" s="340">
        <v>1260</v>
      </c>
      <c r="N11" s="341">
        <v>635322.78</v>
      </c>
      <c r="O11" s="358">
        <v>74287.079999999987</v>
      </c>
      <c r="P11" s="358">
        <v>212248.80000000002</v>
      </c>
      <c r="Q11" s="358">
        <v>348786.9</v>
      </c>
      <c r="R11" s="341">
        <v>3824.2730446601945</v>
      </c>
      <c r="S11" s="342">
        <v>447.16494757281538</v>
      </c>
      <c r="T11" s="342">
        <v>1277.61413592233</v>
      </c>
      <c r="U11" s="342">
        <v>2099.4939611650489</v>
      </c>
      <c r="V11" s="338">
        <v>696</v>
      </c>
      <c r="W11" s="344">
        <v>3701.2194174757274</v>
      </c>
      <c r="X11" s="344">
        <v>123.05362718446713</v>
      </c>
      <c r="Y11" s="345"/>
    </row>
    <row r="12" spans="1:28" s="346" customFormat="1" x14ac:dyDescent="0.25">
      <c r="A12" s="337" t="s">
        <v>195</v>
      </c>
      <c r="B12" s="338">
        <v>723</v>
      </c>
      <c r="C12" s="338">
        <v>723</v>
      </c>
      <c r="D12" s="381">
        <v>0.64300000000000002</v>
      </c>
      <c r="E12" s="339">
        <v>464.88900000000001</v>
      </c>
      <c r="F12" s="381">
        <v>0.18</v>
      </c>
      <c r="G12" s="339">
        <v>130.13999999999999</v>
      </c>
      <c r="H12" s="381">
        <v>0.17699999999999999</v>
      </c>
      <c r="I12" s="339">
        <v>127.97099999999999</v>
      </c>
      <c r="J12" s="340">
        <v>2081.8000000000002</v>
      </c>
      <c r="K12" s="340">
        <v>416.36000000000007</v>
      </c>
      <c r="L12" s="340">
        <v>1040.9000000000001</v>
      </c>
      <c r="M12" s="340">
        <v>1457.26</v>
      </c>
      <c r="N12" s="341">
        <v>515510.92950000003</v>
      </c>
      <c r="O12" s="358">
        <v>193561.18404000005</v>
      </c>
      <c r="P12" s="358">
        <v>135462.726</v>
      </c>
      <c r="Q12" s="358">
        <v>186487.01945999998</v>
      </c>
      <c r="R12" s="341">
        <v>3103.0754979611647</v>
      </c>
      <c r="S12" s="342">
        <v>1165.1255738330099</v>
      </c>
      <c r="T12" s="342">
        <v>815.40670019417462</v>
      </c>
      <c r="U12" s="342">
        <v>1122.5432239339802</v>
      </c>
      <c r="V12" s="338">
        <v>693</v>
      </c>
      <c r="W12" s="344">
        <v>2838.349345631068</v>
      </c>
      <c r="X12" s="344">
        <v>264.72615233009674</v>
      </c>
      <c r="Y12" s="345"/>
    </row>
    <row r="13" spans="1:28" s="346" customFormat="1" x14ac:dyDescent="0.25">
      <c r="A13" s="337" t="s">
        <v>196</v>
      </c>
      <c r="B13" s="338">
        <v>614</v>
      </c>
      <c r="C13" s="338">
        <v>614</v>
      </c>
      <c r="D13" s="381">
        <v>0.36399999999999999</v>
      </c>
      <c r="E13" s="339">
        <v>223.49599999999998</v>
      </c>
      <c r="F13" s="381">
        <v>0.315</v>
      </c>
      <c r="G13" s="339">
        <v>193.41</v>
      </c>
      <c r="H13" s="381">
        <v>0.32100000000000001</v>
      </c>
      <c r="I13" s="339">
        <v>197.09399999999999</v>
      </c>
      <c r="J13" s="340">
        <v>1500</v>
      </c>
      <c r="K13" s="340">
        <v>300</v>
      </c>
      <c r="L13" s="340">
        <v>750</v>
      </c>
      <c r="M13" s="340">
        <v>1050</v>
      </c>
      <c r="N13" s="341">
        <v>419055</v>
      </c>
      <c r="O13" s="358">
        <v>67048.799999999988</v>
      </c>
      <c r="P13" s="358">
        <v>145057.5</v>
      </c>
      <c r="Q13" s="358">
        <v>206948.69999999998</v>
      </c>
      <c r="R13" s="341">
        <v>2522.4669902912619</v>
      </c>
      <c r="S13" s="342">
        <v>403.59471844660186</v>
      </c>
      <c r="T13" s="342">
        <v>873.16165048543678</v>
      </c>
      <c r="U13" s="342">
        <v>1245.7106213592233</v>
      </c>
      <c r="V13" s="338">
        <v>530</v>
      </c>
      <c r="W13" s="344">
        <v>2176.9223300970871</v>
      </c>
      <c r="X13" s="344">
        <v>345.54466019417487</v>
      </c>
      <c r="Y13" s="345"/>
    </row>
    <row r="14" spans="1:28" s="346" customFormat="1" x14ac:dyDescent="0.25">
      <c r="A14" s="337" t="s">
        <v>197</v>
      </c>
      <c r="B14" s="338">
        <v>864</v>
      </c>
      <c r="C14" s="338">
        <v>863.13599999999997</v>
      </c>
      <c r="D14" s="381">
        <v>0.45800000000000002</v>
      </c>
      <c r="E14" s="339">
        <v>395.71199999999999</v>
      </c>
      <c r="F14" s="381">
        <v>0.29599999999999999</v>
      </c>
      <c r="G14" s="339">
        <v>255.744</v>
      </c>
      <c r="H14" s="381">
        <v>0.245</v>
      </c>
      <c r="I14" s="339">
        <v>211.68</v>
      </c>
      <c r="J14" s="340">
        <v>2046</v>
      </c>
      <c r="K14" s="340">
        <v>409.20000000000005</v>
      </c>
      <c r="L14" s="340">
        <v>1023</v>
      </c>
      <c r="M14" s="340">
        <v>1432.1999999999998</v>
      </c>
      <c r="N14" s="341">
        <v>726719.55839999998</v>
      </c>
      <c r="O14" s="358">
        <v>161925.35040000002</v>
      </c>
      <c r="P14" s="358">
        <v>261626.11199999999</v>
      </c>
      <c r="Q14" s="358">
        <v>303168.09599999996</v>
      </c>
      <c r="R14" s="341">
        <v>4374.4284097864074</v>
      </c>
      <c r="S14" s="342">
        <v>974.69628396116514</v>
      </c>
      <c r="T14" s="342">
        <v>1574.8367906796116</v>
      </c>
      <c r="U14" s="342">
        <v>1824.895335145631</v>
      </c>
      <c r="V14" s="338">
        <v>831</v>
      </c>
      <c r="W14" s="344">
        <v>4211.9790291262134</v>
      </c>
      <c r="X14" s="344">
        <v>162.44938066019404</v>
      </c>
      <c r="Y14" s="345"/>
    </row>
    <row r="15" spans="1:28" s="346" customFormat="1" x14ac:dyDescent="0.25">
      <c r="A15" s="337" t="s">
        <v>198</v>
      </c>
      <c r="B15" s="338">
        <v>746</v>
      </c>
      <c r="C15" s="338">
        <v>746.74599999999998</v>
      </c>
      <c r="D15" s="381">
        <v>0.311</v>
      </c>
      <c r="E15" s="339">
        <v>232.006</v>
      </c>
      <c r="F15" s="381">
        <v>0.33800000000000002</v>
      </c>
      <c r="G15" s="339">
        <v>252.14800000000002</v>
      </c>
      <c r="H15" s="381">
        <v>0.35199999999999998</v>
      </c>
      <c r="I15" s="339">
        <v>262.59199999999998</v>
      </c>
      <c r="J15" s="340">
        <v>1610</v>
      </c>
      <c r="K15" s="340">
        <v>322</v>
      </c>
      <c r="L15" s="340">
        <v>805</v>
      </c>
      <c r="M15" s="340">
        <v>1127</v>
      </c>
      <c r="N15" s="341">
        <v>573626.25600000005</v>
      </c>
      <c r="O15" s="358">
        <v>74705.932000000001</v>
      </c>
      <c r="P15" s="358">
        <v>202979.14</v>
      </c>
      <c r="Q15" s="358">
        <v>295941.18400000001</v>
      </c>
      <c r="R15" s="341">
        <v>3452.8959099029125</v>
      </c>
      <c r="S15" s="342">
        <v>449.68619262135917</v>
      </c>
      <c r="T15" s="342">
        <v>1221.8161825242719</v>
      </c>
      <c r="U15" s="342">
        <v>1781.3935347572815</v>
      </c>
      <c r="V15" s="338">
        <v>557</v>
      </c>
      <c r="W15" s="344">
        <v>638.78058252427172</v>
      </c>
      <c r="X15" s="344">
        <v>2814.1153273786408</v>
      </c>
      <c r="Y15" s="345"/>
    </row>
    <row r="16" spans="1:28" s="346" customFormat="1" x14ac:dyDescent="0.25">
      <c r="A16" s="337" t="s">
        <v>199</v>
      </c>
      <c r="B16" s="338">
        <v>404</v>
      </c>
      <c r="C16" s="338">
        <v>403.596</v>
      </c>
      <c r="D16" s="381">
        <v>0.26200000000000001</v>
      </c>
      <c r="E16" s="339">
        <v>105.848</v>
      </c>
      <c r="F16" s="381">
        <v>0.35899999999999999</v>
      </c>
      <c r="G16" s="339">
        <v>145.036</v>
      </c>
      <c r="H16" s="381">
        <v>0.378</v>
      </c>
      <c r="I16" s="339">
        <v>152.71199999999999</v>
      </c>
      <c r="J16" s="340">
        <v>2000</v>
      </c>
      <c r="K16" s="340">
        <v>400</v>
      </c>
      <c r="L16" s="340">
        <v>1000</v>
      </c>
      <c r="M16" s="340">
        <v>1400</v>
      </c>
      <c r="N16" s="341">
        <v>401172</v>
      </c>
      <c r="O16" s="358">
        <v>42339.199999999997</v>
      </c>
      <c r="P16" s="358">
        <v>145036</v>
      </c>
      <c r="Q16" s="358">
        <v>213796.8</v>
      </c>
      <c r="R16" s="341">
        <v>2414.8217475728152</v>
      </c>
      <c r="S16" s="342">
        <v>254.85732038834945</v>
      </c>
      <c r="T16" s="342">
        <v>873.03223300970853</v>
      </c>
      <c r="U16" s="342">
        <v>1286.9321941747571</v>
      </c>
      <c r="V16" s="338">
        <v>465</v>
      </c>
      <c r="W16" s="344">
        <v>2575.9</v>
      </c>
      <c r="X16" s="344">
        <v>-161.07825242718491</v>
      </c>
      <c r="Y16" s="345"/>
    </row>
    <row r="17" spans="1:25" s="346" customFormat="1" x14ac:dyDescent="0.25">
      <c r="A17" s="337" t="s">
        <v>200</v>
      </c>
      <c r="B17" s="338">
        <v>1646</v>
      </c>
      <c r="C17" s="338">
        <v>1646</v>
      </c>
      <c r="D17" s="381">
        <v>0.33300000000000002</v>
      </c>
      <c r="E17" s="339">
        <v>548.11800000000005</v>
      </c>
      <c r="F17" s="381">
        <v>0.32900000000000001</v>
      </c>
      <c r="G17" s="339">
        <v>541.53399999999999</v>
      </c>
      <c r="H17" s="381">
        <v>0.33800000000000002</v>
      </c>
      <c r="I17" s="339">
        <v>556.34800000000007</v>
      </c>
      <c r="J17" s="340">
        <v>2292.31</v>
      </c>
      <c r="K17" s="340">
        <v>458.46199999999999</v>
      </c>
      <c r="L17" s="340">
        <v>1146.155</v>
      </c>
      <c r="M17" s="340">
        <v>1604.617</v>
      </c>
      <c r="N17" s="341">
        <v>1764698.6350020003</v>
      </c>
      <c r="O17" s="358">
        <v>251291.274516</v>
      </c>
      <c r="P17" s="358">
        <v>620681.90177</v>
      </c>
      <c r="Q17" s="358">
        <v>892725.45871600008</v>
      </c>
      <c r="R17" s="341">
        <v>10020.45780292466</v>
      </c>
      <c r="S17" s="342">
        <v>1512.6270893196115</v>
      </c>
      <c r="T17" s="342">
        <v>3736.1434863825239</v>
      </c>
      <c r="U17" s="342">
        <v>5373.6872272225246</v>
      </c>
      <c r="V17" s="338">
        <v>1878</v>
      </c>
      <c r="W17" s="344">
        <v>2782.174757281553</v>
      </c>
      <c r="X17" s="344">
        <v>7238.2830456431075</v>
      </c>
      <c r="Y17" s="345"/>
    </row>
    <row r="18" spans="1:25" s="346" customFormat="1" x14ac:dyDescent="0.25">
      <c r="A18" s="337" t="s">
        <v>201</v>
      </c>
      <c r="B18" s="338">
        <v>509</v>
      </c>
      <c r="C18" s="338">
        <v>509</v>
      </c>
      <c r="D18" s="381">
        <v>0.28799999999999998</v>
      </c>
      <c r="E18" s="339">
        <v>146.59199999999998</v>
      </c>
      <c r="F18" s="381">
        <v>0.39400000000000002</v>
      </c>
      <c r="G18" s="339">
        <v>200.54600000000002</v>
      </c>
      <c r="H18" s="381">
        <v>0.318</v>
      </c>
      <c r="I18" s="339">
        <v>161.86199999999999</v>
      </c>
      <c r="J18" s="340">
        <v>1800</v>
      </c>
      <c r="K18" s="340">
        <v>360</v>
      </c>
      <c r="L18" s="340">
        <v>900</v>
      </c>
      <c r="M18" s="340">
        <v>1260</v>
      </c>
      <c r="N18" s="341">
        <v>437210.64</v>
      </c>
      <c r="O18" s="358">
        <v>52773.119999999995</v>
      </c>
      <c r="P18" s="358">
        <v>180491.40000000002</v>
      </c>
      <c r="Q18" s="358">
        <v>203946.12</v>
      </c>
      <c r="R18" s="341">
        <v>2631.7533669902914</v>
      </c>
      <c r="S18" s="342">
        <v>317.66344077669896</v>
      </c>
      <c r="T18" s="342">
        <v>1086.4530873786409</v>
      </c>
      <c r="U18" s="342">
        <v>1227.6368388349515</v>
      </c>
      <c r="V18" s="338">
        <v>507</v>
      </c>
      <c r="W18" s="344">
        <v>12121.868812621356</v>
      </c>
      <c r="X18" s="344">
        <v>-9490.1154456310651</v>
      </c>
      <c r="Y18" s="345"/>
    </row>
    <row r="19" spans="1:25" s="346" customFormat="1" x14ac:dyDescent="0.25">
      <c r="A19" s="337" t="s">
        <v>202</v>
      </c>
      <c r="B19" s="338">
        <v>426</v>
      </c>
      <c r="C19" s="338">
        <v>426</v>
      </c>
      <c r="D19" s="381">
        <v>0.38200000000000001</v>
      </c>
      <c r="E19" s="339">
        <v>162.732</v>
      </c>
      <c r="F19" s="381">
        <v>0.308</v>
      </c>
      <c r="G19" s="339">
        <v>131.208</v>
      </c>
      <c r="H19" s="381">
        <v>0.31</v>
      </c>
      <c r="I19" s="339">
        <v>132.06</v>
      </c>
      <c r="J19" s="340">
        <v>2000</v>
      </c>
      <c r="K19" s="340">
        <v>400</v>
      </c>
      <c r="L19" s="340">
        <v>1000</v>
      </c>
      <c r="M19" s="340">
        <v>1400</v>
      </c>
      <c r="N19" s="341">
        <v>381184.8</v>
      </c>
      <c r="O19" s="358">
        <v>65092.800000000003</v>
      </c>
      <c r="P19" s="358">
        <v>131208</v>
      </c>
      <c r="Q19" s="358">
        <v>184884</v>
      </c>
      <c r="R19" s="341">
        <v>2294.5104466019416</v>
      </c>
      <c r="S19" s="342">
        <v>391.82073786407767</v>
      </c>
      <c r="T19" s="342">
        <v>789.79572815533982</v>
      </c>
      <c r="U19" s="342">
        <v>1112.8939805825241</v>
      </c>
      <c r="V19" s="338">
        <v>416</v>
      </c>
      <c r="W19" s="344">
        <v>2240.4271844660193</v>
      </c>
      <c r="X19" s="344">
        <v>54.083262135922268</v>
      </c>
      <c r="Y19" s="345"/>
    </row>
    <row r="20" spans="1:25" s="346" customFormat="1" ht="16.5" customHeight="1" x14ac:dyDescent="0.25">
      <c r="A20" s="337" t="s">
        <v>203</v>
      </c>
      <c r="B20" s="338">
        <v>609</v>
      </c>
      <c r="C20" s="338">
        <v>609</v>
      </c>
      <c r="D20" s="381">
        <v>0.441</v>
      </c>
      <c r="E20" s="339">
        <v>268.56900000000002</v>
      </c>
      <c r="F20" s="381">
        <v>0.32</v>
      </c>
      <c r="G20" s="339">
        <v>194.88</v>
      </c>
      <c r="H20" s="381">
        <v>0.23899999999999999</v>
      </c>
      <c r="I20" s="339">
        <v>145.55099999999999</v>
      </c>
      <c r="J20" s="340">
        <v>1825</v>
      </c>
      <c r="K20" s="340">
        <v>365</v>
      </c>
      <c r="L20" s="340">
        <v>912.5</v>
      </c>
      <c r="M20" s="340">
        <v>1277.5</v>
      </c>
      <c r="N20" s="341">
        <v>461797.08750000002</v>
      </c>
      <c r="O20" s="358">
        <v>98027.685000000012</v>
      </c>
      <c r="P20" s="358">
        <v>177828</v>
      </c>
      <c r="Q20" s="358">
        <v>185941.4025</v>
      </c>
      <c r="R20" s="341">
        <v>2779.7494587378637</v>
      </c>
      <c r="S20" s="342">
        <v>590.06956019417476</v>
      </c>
      <c r="T20" s="342">
        <v>1070.4209708737862</v>
      </c>
      <c r="U20" s="342">
        <v>1119.2589276699027</v>
      </c>
      <c r="V20" s="338">
        <v>587</v>
      </c>
      <c r="W20" s="344">
        <v>2678.2495145631065</v>
      </c>
      <c r="X20" s="344">
        <v>101.49994417475727</v>
      </c>
      <c r="Y20" s="345"/>
    </row>
    <row r="21" spans="1:25" s="346" customFormat="1" x14ac:dyDescent="0.25">
      <c r="A21" s="337" t="s">
        <v>204</v>
      </c>
      <c r="B21" s="338">
        <v>90</v>
      </c>
      <c r="C21" s="338">
        <v>90.09</v>
      </c>
      <c r="D21" s="381">
        <v>0.45600000000000002</v>
      </c>
      <c r="E21" s="339">
        <v>41.04</v>
      </c>
      <c r="F21" s="381">
        <v>0.25600000000000001</v>
      </c>
      <c r="G21" s="339">
        <v>23.04</v>
      </c>
      <c r="H21" s="381">
        <v>0.28899999999999998</v>
      </c>
      <c r="I21" s="339">
        <v>26.009999999999998</v>
      </c>
      <c r="J21" s="340">
        <v>2800</v>
      </c>
      <c r="K21" s="340">
        <v>560</v>
      </c>
      <c r="L21" s="340">
        <v>1400</v>
      </c>
      <c r="M21" s="340">
        <v>1959.9999999999998</v>
      </c>
      <c r="N21" s="341">
        <v>106217.99999999999</v>
      </c>
      <c r="O21" s="358">
        <v>22982.399999999998</v>
      </c>
      <c r="P21" s="358">
        <v>32256</v>
      </c>
      <c r="Q21" s="358">
        <v>50979.599999999991</v>
      </c>
      <c r="R21" s="341">
        <v>639.37048543689309</v>
      </c>
      <c r="S21" s="342">
        <v>138.34066019417475</v>
      </c>
      <c r="T21" s="342">
        <v>194.16233009708736</v>
      </c>
      <c r="U21" s="342">
        <v>306.86749514563098</v>
      </c>
      <c r="V21" s="338">
        <v>90</v>
      </c>
      <c r="W21" s="344">
        <v>2620.9747572815531</v>
      </c>
      <c r="X21" s="344">
        <v>-1981.6042718446602</v>
      </c>
      <c r="Y21" s="345"/>
    </row>
    <row r="22" spans="1:25" s="346" customFormat="1" x14ac:dyDescent="0.25">
      <c r="A22" s="359" t="s">
        <v>205</v>
      </c>
      <c r="B22" s="338">
        <v>8919</v>
      </c>
      <c r="C22" s="338">
        <v>8919</v>
      </c>
      <c r="D22" s="381">
        <v>0.38200000000000001</v>
      </c>
      <c r="E22" s="339">
        <v>3407.058</v>
      </c>
      <c r="F22" s="381">
        <v>0.42899999999999999</v>
      </c>
      <c r="G22" s="339">
        <v>3826.2509999999997</v>
      </c>
      <c r="H22" s="381">
        <v>0.189</v>
      </c>
      <c r="I22" s="339">
        <v>1685.691</v>
      </c>
      <c r="J22" s="340">
        <v>2800</v>
      </c>
      <c r="K22" s="340">
        <v>560</v>
      </c>
      <c r="L22" s="340">
        <v>1400</v>
      </c>
      <c r="M22" s="340">
        <v>1959.9999999999998</v>
      </c>
      <c r="N22" s="341">
        <v>10568658.239999998</v>
      </c>
      <c r="O22" s="358">
        <v>1907952.48</v>
      </c>
      <c r="P22" s="358">
        <v>5356751.3999999994</v>
      </c>
      <c r="Q22" s="358">
        <v>3303954.36</v>
      </c>
      <c r="R22" s="341">
        <v>63617.166104854361</v>
      </c>
      <c r="S22" s="342">
        <v>11484.762500970874</v>
      </c>
      <c r="T22" s="342">
        <v>32244.522990291258</v>
      </c>
      <c r="U22" s="342">
        <v>19887.880613592231</v>
      </c>
      <c r="V22" s="338">
        <v>7273</v>
      </c>
      <c r="W22" s="344">
        <v>10869.684699029125</v>
      </c>
      <c r="X22" s="344">
        <v>52747.481405825238</v>
      </c>
      <c r="Y22" s="345"/>
    </row>
    <row r="23" spans="1:25" s="346" customFormat="1" x14ac:dyDescent="0.25">
      <c r="A23" s="337" t="s">
        <v>206</v>
      </c>
      <c r="B23" s="338">
        <v>1227</v>
      </c>
      <c r="C23" s="338">
        <v>1227</v>
      </c>
      <c r="D23" s="381">
        <v>0.375</v>
      </c>
      <c r="E23" s="339">
        <v>460.125</v>
      </c>
      <c r="F23" s="381">
        <v>0.317</v>
      </c>
      <c r="G23" s="339">
        <v>388.959</v>
      </c>
      <c r="H23" s="381">
        <v>0.308</v>
      </c>
      <c r="I23" s="339">
        <v>377.916</v>
      </c>
      <c r="J23" s="340">
        <v>2886</v>
      </c>
      <c r="K23" s="340">
        <v>577.20000000000005</v>
      </c>
      <c r="L23" s="340">
        <v>1443</v>
      </c>
      <c r="M23" s="340">
        <v>2020.1999999999998</v>
      </c>
      <c r="N23" s="341">
        <v>1590317.8902</v>
      </c>
      <c r="O23" s="358">
        <v>265584.15000000002</v>
      </c>
      <c r="P23" s="358">
        <v>561267.83700000006</v>
      </c>
      <c r="Q23" s="358">
        <v>763465.90319999994</v>
      </c>
      <c r="R23" s="341">
        <v>9572.7873002330089</v>
      </c>
      <c r="S23" s="342">
        <v>1598.661873786408</v>
      </c>
      <c r="T23" s="342">
        <v>3378.5054266019415</v>
      </c>
      <c r="U23" s="342">
        <v>4595.61999984466</v>
      </c>
      <c r="V23" s="338">
        <v>1393</v>
      </c>
      <c r="W23" s="344">
        <v>51872.691262135908</v>
      </c>
      <c r="X23" s="344">
        <v>-42299.903961902899</v>
      </c>
      <c r="Y23" s="345"/>
    </row>
    <row r="24" spans="1:25" s="346" customFormat="1" x14ac:dyDescent="0.25">
      <c r="A24" s="337" t="s">
        <v>90</v>
      </c>
      <c r="B24" s="338">
        <v>25068</v>
      </c>
      <c r="C24" s="338">
        <v>25069.198000000004</v>
      </c>
      <c r="D24" s="381" t="s">
        <v>155</v>
      </c>
      <c r="E24" s="339">
        <v>9329.8940000000002</v>
      </c>
      <c r="F24" s="381" t="s">
        <v>155</v>
      </c>
      <c r="G24" s="339">
        <v>9085.6180000000004</v>
      </c>
      <c r="H24" s="381" t="s">
        <v>155</v>
      </c>
      <c r="I24" s="339">
        <v>6653.6860000000015</v>
      </c>
      <c r="J24" s="340">
        <v>39917.210000000006</v>
      </c>
      <c r="K24" s="341">
        <v>7983.442</v>
      </c>
      <c r="L24" s="341">
        <v>19958.605000000003</v>
      </c>
      <c r="M24" s="341">
        <v>27942.046999999999</v>
      </c>
      <c r="N24" s="341">
        <v>25666877.367961999</v>
      </c>
      <c r="O24" s="658">
        <v>4396640.3769159997</v>
      </c>
      <c r="P24" s="658">
        <v>10800485.511669999</v>
      </c>
      <c r="Q24" s="658">
        <v>10469751.479376001</v>
      </c>
      <c r="R24" s="341">
        <v>153897.65017608192</v>
      </c>
      <c r="S24" s="658">
        <v>26465.213919300193</v>
      </c>
      <c r="T24" s="658">
        <v>65012.631235295135</v>
      </c>
      <c r="U24" s="658">
        <v>63021.805021486587</v>
      </c>
      <c r="V24" s="338">
        <v>23882</v>
      </c>
      <c r="W24" s="344">
        <v>145663.26914854365</v>
      </c>
      <c r="X24" s="344">
        <v>8234.3810275382712</v>
      </c>
      <c r="Y24" s="345"/>
    </row>
    <row r="25" spans="1:25" s="1" customFormat="1" x14ac:dyDescent="0.25">
      <c r="F25" s="383"/>
      <c r="Y25" s="368"/>
    </row>
    <row r="26" spans="1:25" s="1" customFormat="1" x14ac:dyDescent="0.25"/>
    <row r="27" spans="1:25" s="1" customFormat="1" x14ac:dyDescent="0.25">
      <c r="B27" s="369"/>
    </row>
    <row r="28" spans="1:25" s="1" customFormat="1" x14ac:dyDescent="0.25"/>
    <row r="29" spans="1:25" s="1" customFormat="1" x14ac:dyDescent="0.25"/>
  </sheetData>
  <mergeCells count="13">
    <mergeCell ref="V3:W3"/>
    <mergeCell ref="X3:X4"/>
    <mergeCell ref="A1:N1"/>
    <mergeCell ref="O1:X1"/>
    <mergeCell ref="A3:A4"/>
    <mergeCell ref="B3:B4"/>
    <mergeCell ref="D3:I3"/>
    <mergeCell ref="J3:J4"/>
    <mergeCell ref="K3:M3"/>
    <mergeCell ref="N3:N4"/>
    <mergeCell ref="O3:Q3"/>
    <mergeCell ref="R3:R4"/>
    <mergeCell ref="S3:U3"/>
  </mergeCells>
  <pageMargins left="0.70866141732283472" right="0.70866141732283472" top="0.74803149606299213" bottom="0.74803149606299213" header="0.31496062992125984" footer="0.31496062992125984"/>
  <pageSetup paperSize="9" scale="63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5" tint="-0.249977111117893"/>
    <pageSetUpPr fitToPage="1"/>
  </sheetPr>
  <dimension ref="A1:O9"/>
  <sheetViews>
    <sheetView view="pageBreakPreview" zoomScaleNormal="100" zoomScaleSheetLayoutView="100" workbookViewId="0">
      <selection activeCell="K4" sqref="K4:K8"/>
    </sheetView>
  </sheetViews>
  <sheetFormatPr defaultRowHeight="15.75" x14ac:dyDescent="0.25"/>
  <cols>
    <col min="1" max="1" width="9.140625" style="1"/>
    <col min="2" max="2" width="22.5703125" style="1" customWidth="1"/>
    <col min="3" max="3" width="24.42578125" style="1" customWidth="1"/>
    <col min="4" max="4" width="27.5703125" style="1" customWidth="1"/>
    <col min="5" max="5" width="15.140625" style="1" customWidth="1"/>
    <col min="6" max="6" width="16.28515625" style="1" customWidth="1"/>
    <col min="7" max="11" width="17.85546875" style="1" customWidth="1"/>
    <col min="12" max="12" width="14.140625" style="1" customWidth="1"/>
    <col min="13" max="13" width="15.28515625" style="1" customWidth="1"/>
    <col min="14" max="15" width="9.140625" style="1"/>
  </cols>
  <sheetData>
    <row r="1" spans="1:15" ht="58.5" customHeight="1" x14ac:dyDescent="0.25">
      <c r="A1" s="762" t="s">
        <v>312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</row>
    <row r="2" spans="1:15" ht="21" customHeight="1" x14ac:dyDescent="0.25">
      <c r="A2" s="751" t="s">
        <v>17</v>
      </c>
      <c r="B2" s="751" t="s">
        <v>313</v>
      </c>
      <c r="C2" s="763" t="s">
        <v>83</v>
      </c>
      <c r="D2" s="763"/>
      <c r="E2" s="763"/>
      <c r="F2" s="763"/>
      <c r="G2" s="763"/>
      <c r="H2" s="759" t="s">
        <v>322</v>
      </c>
      <c r="I2" s="759"/>
      <c r="J2" s="759"/>
      <c r="K2" s="760" t="s">
        <v>69</v>
      </c>
      <c r="L2" s="752" t="s">
        <v>320</v>
      </c>
      <c r="M2" s="752" t="s">
        <v>321</v>
      </c>
    </row>
    <row r="3" spans="1:15" s="387" customFormat="1" ht="66" customHeight="1" x14ac:dyDescent="0.25">
      <c r="A3" s="751"/>
      <c r="B3" s="751"/>
      <c r="C3" s="332" t="s">
        <v>315</v>
      </c>
      <c r="D3" s="332" t="s">
        <v>318</v>
      </c>
      <c r="E3" s="332" t="s">
        <v>314</v>
      </c>
      <c r="F3" s="332" t="s">
        <v>319</v>
      </c>
      <c r="G3" s="332" t="s">
        <v>324</v>
      </c>
      <c r="H3" s="332" t="s">
        <v>323</v>
      </c>
      <c r="I3" s="332" t="s">
        <v>314</v>
      </c>
      <c r="J3" s="332" t="s">
        <v>324</v>
      </c>
      <c r="K3" s="761"/>
      <c r="L3" s="753"/>
      <c r="M3" s="753"/>
      <c r="N3" s="386"/>
      <c r="O3" s="386"/>
    </row>
    <row r="4" spans="1:15" x14ac:dyDescent="0.25">
      <c r="A4" s="389">
        <v>1</v>
      </c>
      <c r="B4" s="390" t="s">
        <v>316</v>
      </c>
      <c r="C4" s="389">
        <v>408</v>
      </c>
      <c r="D4" s="389">
        <f>C4*0.5</f>
        <v>204</v>
      </c>
      <c r="E4" s="389">
        <v>45</v>
      </c>
      <c r="F4" s="389">
        <v>178</v>
      </c>
      <c r="G4" s="391">
        <f>(D4*E4*F4)/1000</f>
        <v>1634.04</v>
      </c>
      <c r="H4" s="391">
        <v>1411</v>
      </c>
      <c r="I4" s="389">
        <v>45</v>
      </c>
      <c r="J4" s="391">
        <f>(H4*I4)/1000</f>
        <v>63.494999999999997</v>
      </c>
      <c r="K4" s="391">
        <f>J4+G4</f>
        <v>1697.5349999999999</v>
      </c>
      <c r="L4" s="391">
        <v>994.7</v>
      </c>
      <c r="M4" s="391">
        <f>K4-L4</f>
        <v>702.83499999999981</v>
      </c>
    </row>
    <row r="5" spans="1:15" x14ac:dyDescent="0.25">
      <c r="A5" s="389">
        <v>2</v>
      </c>
      <c r="B5" s="390" t="s">
        <v>241</v>
      </c>
      <c r="C5" s="389">
        <v>408</v>
      </c>
      <c r="D5" s="389">
        <f t="shared" ref="D5:D7" si="0">C5*0.5</f>
        <v>204</v>
      </c>
      <c r="E5" s="389">
        <v>30</v>
      </c>
      <c r="F5" s="389">
        <v>178</v>
      </c>
      <c r="G5" s="391">
        <f t="shared" ref="G5:G7" si="1">(D5*E5*F5)/1000</f>
        <v>1089.3599999999999</v>
      </c>
      <c r="H5" s="391">
        <v>1411</v>
      </c>
      <c r="I5" s="389">
        <v>30</v>
      </c>
      <c r="J5" s="391">
        <f t="shared" ref="J5:J7" si="2">(H5*I5)/1000</f>
        <v>42.33</v>
      </c>
      <c r="K5" s="391">
        <f t="shared" ref="K5:K7" si="3">J5+G5</f>
        <v>1131.6899999999998</v>
      </c>
      <c r="L5" s="391">
        <v>746.4</v>
      </c>
      <c r="M5" s="391">
        <f t="shared" ref="M5:M8" si="4">K5-L5</f>
        <v>385.28999999999985</v>
      </c>
    </row>
    <row r="6" spans="1:15" x14ac:dyDescent="0.25">
      <c r="A6" s="389">
        <v>3</v>
      </c>
      <c r="B6" s="390" t="s">
        <v>247</v>
      </c>
      <c r="C6" s="389">
        <v>408</v>
      </c>
      <c r="D6" s="389">
        <f t="shared" si="0"/>
        <v>204</v>
      </c>
      <c r="E6" s="389">
        <v>32</v>
      </c>
      <c r="F6" s="389">
        <v>178</v>
      </c>
      <c r="G6" s="391">
        <f t="shared" si="1"/>
        <v>1161.9839999999999</v>
      </c>
      <c r="H6" s="391">
        <v>1411</v>
      </c>
      <c r="I6" s="389">
        <v>32</v>
      </c>
      <c r="J6" s="391">
        <f t="shared" si="2"/>
        <v>45.152000000000001</v>
      </c>
      <c r="K6" s="391">
        <f t="shared" si="3"/>
        <v>1207.136</v>
      </c>
      <c r="L6" s="391">
        <v>337.7</v>
      </c>
      <c r="M6" s="391">
        <f t="shared" si="4"/>
        <v>869.43599999999992</v>
      </c>
    </row>
    <row r="7" spans="1:15" x14ac:dyDescent="0.25">
      <c r="A7" s="389">
        <v>4</v>
      </c>
      <c r="B7" s="390" t="s">
        <v>252</v>
      </c>
      <c r="C7" s="389">
        <v>408</v>
      </c>
      <c r="D7" s="389">
        <f t="shared" si="0"/>
        <v>204</v>
      </c>
      <c r="E7" s="389">
        <v>14</v>
      </c>
      <c r="F7" s="389">
        <v>178</v>
      </c>
      <c r="G7" s="391">
        <f t="shared" si="1"/>
        <v>508.36799999999999</v>
      </c>
      <c r="H7" s="391">
        <v>1411</v>
      </c>
      <c r="I7" s="389">
        <v>14</v>
      </c>
      <c r="J7" s="391">
        <f t="shared" si="2"/>
        <v>19.754000000000001</v>
      </c>
      <c r="K7" s="391">
        <f t="shared" si="3"/>
        <v>528.12199999999996</v>
      </c>
      <c r="L7" s="391">
        <v>663.2</v>
      </c>
      <c r="M7" s="391">
        <f t="shared" si="4"/>
        <v>-135.07800000000009</v>
      </c>
    </row>
    <row r="8" spans="1:15" s="397" customFormat="1" x14ac:dyDescent="0.25">
      <c r="A8" s="393" t="s">
        <v>317</v>
      </c>
      <c r="B8" s="394" t="s">
        <v>90</v>
      </c>
      <c r="C8" s="393" t="s">
        <v>155</v>
      </c>
      <c r="D8" s="393" t="s">
        <v>155</v>
      </c>
      <c r="E8" s="393">
        <f>SUM(E4:E7)</f>
        <v>121</v>
      </c>
      <c r="F8" s="393" t="s">
        <v>155</v>
      </c>
      <c r="G8" s="395">
        <f>SUM(G4:G7)</f>
        <v>4393.7519999999995</v>
      </c>
      <c r="H8" s="395" t="s">
        <v>155</v>
      </c>
      <c r="I8" s="398">
        <f>SUM(I4:I7)</f>
        <v>121</v>
      </c>
      <c r="J8" s="395">
        <f t="shared" ref="J8:K8" si="5">SUM(J4:J7)</f>
        <v>170.73099999999997</v>
      </c>
      <c r="K8" s="395">
        <f t="shared" si="5"/>
        <v>4564.4829999999993</v>
      </c>
      <c r="L8" s="395">
        <f>SUM(L4:L7)</f>
        <v>2742</v>
      </c>
      <c r="M8" s="395">
        <f t="shared" si="4"/>
        <v>1822.4829999999993</v>
      </c>
      <c r="N8" s="396"/>
      <c r="O8" s="396"/>
    </row>
    <row r="9" spans="1:15" x14ac:dyDescent="0.25">
      <c r="C9" s="384"/>
      <c r="D9" s="384"/>
      <c r="E9" s="384"/>
      <c r="F9" s="384"/>
      <c r="G9" s="384"/>
      <c r="H9" s="384"/>
      <c r="I9" s="384"/>
      <c r="J9" s="384"/>
      <c r="K9" s="631"/>
      <c r="L9" s="384"/>
    </row>
  </sheetData>
  <mergeCells count="8">
    <mergeCell ref="H2:J2"/>
    <mergeCell ref="K2:K3"/>
    <mergeCell ref="A2:A3"/>
    <mergeCell ref="B2:B3"/>
    <mergeCell ref="A1:M1"/>
    <mergeCell ref="C2:G2"/>
    <mergeCell ref="L2:L3"/>
    <mergeCell ref="M2:M3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5" tint="-0.249977111117893"/>
    <pageSetUpPr fitToPage="1"/>
  </sheetPr>
  <dimension ref="A1:P45"/>
  <sheetViews>
    <sheetView view="pageBreakPreview" topLeftCell="A10" zoomScale="70" zoomScaleNormal="80" zoomScaleSheetLayoutView="70" workbookViewId="0">
      <selection activeCell="H40" sqref="H40"/>
    </sheetView>
  </sheetViews>
  <sheetFormatPr defaultRowHeight="15" x14ac:dyDescent="0.25"/>
  <cols>
    <col min="1" max="1" width="7.140625" style="125" customWidth="1"/>
    <col min="2" max="2" width="38.5703125" style="125" customWidth="1"/>
    <col min="3" max="3" width="19.85546875" style="126" customWidth="1"/>
    <col min="4" max="4" width="24.140625" style="125" customWidth="1"/>
    <col min="5" max="5" width="27.140625" style="125" customWidth="1"/>
    <col min="6" max="6" width="34.85546875" style="125" customWidth="1"/>
    <col min="7" max="7" width="29.28515625" style="125" customWidth="1"/>
    <col min="8" max="8" width="19.5703125" style="125" customWidth="1"/>
    <col min="9" max="9" width="15.140625" style="125" customWidth="1"/>
    <col min="10" max="10" width="17.42578125" style="125" customWidth="1"/>
    <col min="11" max="11" width="15.42578125" style="125" customWidth="1"/>
    <col min="12" max="12" width="18.140625" style="125" customWidth="1"/>
    <col min="13" max="13" width="32.85546875" style="125" customWidth="1"/>
    <col min="14" max="14" width="19.42578125" style="125" customWidth="1"/>
    <col min="15" max="15" width="20.5703125" style="125" customWidth="1"/>
    <col min="16" max="16" width="18.5703125" style="125" customWidth="1"/>
    <col min="17" max="16384" width="9.140625" style="125"/>
  </cols>
  <sheetData>
    <row r="1" spans="1:16" ht="30.75" customHeight="1" x14ac:dyDescent="0.25">
      <c r="A1" s="764" t="s">
        <v>325</v>
      </c>
      <c r="B1" s="764"/>
      <c r="C1" s="764"/>
      <c r="D1" s="764"/>
      <c r="E1" s="764"/>
      <c r="F1" s="764"/>
      <c r="G1" s="764"/>
      <c r="H1" s="399"/>
      <c r="I1" s="399"/>
      <c r="J1" s="399"/>
      <c r="K1" s="399"/>
      <c r="L1" s="399"/>
      <c r="M1" s="399"/>
      <c r="N1" s="399"/>
      <c r="O1" s="399"/>
    </row>
    <row r="2" spans="1:16" ht="19.5" customHeight="1" x14ac:dyDescent="0.25">
      <c r="G2" s="400" t="s">
        <v>70</v>
      </c>
    </row>
    <row r="3" spans="1:16" s="404" customFormat="1" ht="124.5" customHeight="1" x14ac:dyDescent="0.25">
      <c r="A3" s="401" t="s">
        <v>208</v>
      </c>
      <c r="B3" s="401" t="s">
        <v>326</v>
      </c>
      <c r="C3" s="401" t="s">
        <v>327</v>
      </c>
      <c r="D3" s="401" t="s">
        <v>328</v>
      </c>
      <c r="E3" s="401" t="s">
        <v>329</v>
      </c>
      <c r="F3" s="401" t="s">
        <v>330</v>
      </c>
      <c r="G3" s="401" t="s">
        <v>331</v>
      </c>
      <c r="H3" s="402" t="s">
        <v>332</v>
      </c>
      <c r="I3" s="403"/>
      <c r="J3" s="403"/>
      <c r="K3" s="403"/>
      <c r="L3" s="403"/>
      <c r="M3" s="403"/>
      <c r="N3" s="403"/>
    </row>
    <row r="4" spans="1:16" s="404" customFormat="1" ht="27" customHeight="1" x14ac:dyDescent="0.25">
      <c r="A4" s="765" t="s">
        <v>333</v>
      </c>
      <c r="B4" s="765"/>
      <c r="C4" s="765"/>
      <c r="D4" s="765"/>
      <c r="E4" s="765"/>
      <c r="F4" s="765"/>
      <c r="G4" s="765"/>
      <c r="H4" s="402"/>
      <c r="I4" s="405"/>
      <c r="J4" s="405"/>
      <c r="K4" s="405"/>
      <c r="L4" s="405"/>
      <c r="M4" s="405"/>
      <c r="N4" s="405"/>
      <c r="O4" s="405"/>
      <c r="P4" s="403"/>
    </row>
    <row r="5" spans="1:16" ht="24.75" customHeight="1" x14ac:dyDescent="0.25">
      <c r="A5" s="406">
        <v>1</v>
      </c>
      <c r="B5" s="407" t="s">
        <v>334</v>
      </c>
      <c r="C5" s="408">
        <f>[1]Педработники!C73</f>
        <v>13200</v>
      </c>
      <c r="D5" s="408">
        <f>[1]Педработники!K6</f>
        <v>2.819</v>
      </c>
      <c r="E5" s="408">
        <f>[1]Педработники!M73</f>
        <v>46894.064999999995</v>
      </c>
      <c r="F5" s="409">
        <f>'[1]Педработники Д'!K6</f>
        <v>2.0372500000000002</v>
      </c>
      <c r="G5" s="408">
        <f>'[1]Педработники Д'!M73</f>
        <v>32559.329500000003</v>
      </c>
      <c r="H5" s="410">
        <f>G5-E5</f>
        <v>-14334.735499999992</v>
      </c>
      <c r="I5" s="411"/>
      <c r="J5" s="411"/>
      <c r="K5" s="411"/>
      <c r="L5" s="411"/>
      <c r="M5" s="411"/>
      <c r="N5" s="411"/>
    </row>
    <row r="6" spans="1:16" ht="58.5" customHeight="1" x14ac:dyDescent="0.25">
      <c r="A6" s="406">
        <v>2</v>
      </c>
      <c r="B6" s="407" t="s">
        <v>335</v>
      </c>
      <c r="C6" s="408">
        <f>[1]Педработники!D73</f>
        <v>9710.0999999999985</v>
      </c>
      <c r="D6" s="408">
        <f>[1]Педработники!K6</f>
        <v>2.819</v>
      </c>
      <c r="E6" s="408">
        <f>[1]Педработники!P73</f>
        <v>36101.241600000001</v>
      </c>
      <c r="F6" s="409">
        <f>'[1]Педработники Д'!K7</f>
        <v>2.0372500000000002</v>
      </c>
      <c r="G6" s="408">
        <f>'[1]Педработники Д'!P73</f>
        <v>24939.810775000002</v>
      </c>
      <c r="H6" s="410">
        <f t="shared" ref="H6:H12" si="0">G6-E6</f>
        <v>-11161.430824999999</v>
      </c>
      <c r="I6" s="411"/>
      <c r="J6" s="411"/>
      <c r="K6" s="411"/>
      <c r="L6" s="411"/>
      <c r="M6" s="411"/>
      <c r="N6" s="411"/>
    </row>
    <row r="7" spans="1:16" ht="24" customHeight="1" x14ac:dyDescent="0.25">
      <c r="A7" s="766" t="s">
        <v>336</v>
      </c>
      <c r="B7" s="766"/>
      <c r="C7" s="766"/>
      <c r="D7" s="766"/>
      <c r="E7" s="766"/>
      <c r="F7" s="766"/>
      <c r="G7" s="766"/>
      <c r="H7" s="410">
        <f t="shared" si="0"/>
        <v>0</v>
      </c>
      <c r="I7" s="405"/>
      <c r="J7" s="405"/>
      <c r="K7" s="405"/>
      <c r="L7" s="405"/>
      <c r="M7" s="405"/>
      <c r="N7" s="405"/>
      <c r="O7" s="405"/>
      <c r="P7" s="411"/>
    </row>
    <row r="8" spans="1:16" ht="27" customHeight="1" x14ac:dyDescent="0.25">
      <c r="A8" s="406">
        <v>1</v>
      </c>
      <c r="B8" s="407" t="s">
        <v>334</v>
      </c>
      <c r="C8" s="408">
        <f>[1]Медработники!C11</f>
        <v>2000.75</v>
      </c>
      <c r="D8" s="408">
        <f>[1]Медработники!J5</f>
        <v>2.819</v>
      </c>
      <c r="E8" s="408">
        <f>[1]Медработники!L11</f>
        <v>5640.1142500000005</v>
      </c>
      <c r="F8" s="408">
        <f>[1]Медработники!J19</f>
        <v>2.0372500000000002</v>
      </c>
      <c r="G8" s="435">
        <f>[1]Медработники!L25</f>
        <v>4076.0279375</v>
      </c>
      <c r="H8" s="410">
        <f t="shared" si="0"/>
        <v>-1564.0863125000005</v>
      </c>
      <c r="I8" s="411"/>
      <c r="J8" s="411"/>
      <c r="K8" s="411"/>
      <c r="L8" s="411"/>
      <c r="M8" s="411"/>
      <c r="N8" s="411"/>
    </row>
    <row r="9" spans="1:16" ht="56.25" x14ac:dyDescent="0.25">
      <c r="A9" s="406">
        <v>2</v>
      </c>
      <c r="B9" s="407" t="s">
        <v>335</v>
      </c>
      <c r="C9" s="408">
        <f>[1]Медработники!C12</f>
        <v>1589.1</v>
      </c>
      <c r="D9" s="408">
        <f>[1]Медработники!J6</f>
        <v>2.819</v>
      </c>
      <c r="E9" s="408">
        <f>[1]Медработники!L12</f>
        <v>4479.6728999999996</v>
      </c>
      <c r="F9" s="408">
        <f>[1]Медработники!J20</f>
        <v>2.0372500000000002</v>
      </c>
      <c r="G9" s="408">
        <f>[1]Медработники!L26</f>
        <v>3237.3939750000009</v>
      </c>
      <c r="H9" s="410">
        <f t="shared" si="0"/>
        <v>-1242.2789249999987</v>
      </c>
      <c r="I9" s="411"/>
      <c r="J9" s="411"/>
      <c r="K9" s="411"/>
      <c r="L9" s="411"/>
      <c r="M9" s="411"/>
      <c r="N9" s="411"/>
    </row>
    <row r="10" spans="1:16" ht="27" customHeight="1" x14ac:dyDescent="0.25">
      <c r="A10" s="766" t="s">
        <v>337</v>
      </c>
      <c r="B10" s="766"/>
      <c r="C10" s="766"/>
      <c r="D10" s="766"/>
      <c r="E10" s="766"/>
      <c r="F10" s="766"/>
      <c r="G10" s="766"/>
      <c r="H10" s="410">
        <f t="shared" si="0"/>
        <v>0</v>
      </c>
      <c r="I10" s="405"/>
      <c r="J10" s="405"/>
      <c r="K10" s="405"/>
      <c r="L10" s="405"/>
      <c r="M10" s="405"/>
      <c r="N10" s="405"/>
      <c r="O10" s="405"/>
      <c r="P10" s="411"/>
    </row>
    <row r="11" spans="1:16" ht="24" customHeight="1" x14ac:dyDescent="0.25">
      <c r="A11" s="412">
        <v>1</v>
      </c>
      <c r="B11" s="413" t="s">
        <v>334</v>
      </c>
      <c r="C11" s="409">
        <f>[1]Соцработники!C5</f>
        <v>84</v>
      </c>
      <c r="D11" s="408">
        <f>[1]Соцработники!J5</f>
        <v>2.819</v>
      </c>
      <c r="E11" s="409">
        <f>[1]Соцработники!L5</f>
        <v>236.79599999999999</v>
      </c>
      <c r="F11" s="408">
        <f>[1]Соцработники!J13</f>
        <v>2.0372500000000002</v>
      </c>
      <c r="G11" s="409">
        <f>[1]Соцработники!L13</f>
        <v>171.12900000000002</v>
      </c>
      <c r="H11" s="410">
        <f t="shared" si="0"/>
        <v>-65.666999999999973</v>
      </c>
      <c r="I11" s="411"/>
      <c r="J11" s="411"/>
      <c r="K11" s="411"/>
      <c r="L11" s="411"/>
      <c r="M11" s="411"/>
      <c r="N11" s="411"/>
    </row>
    <row r="12" spans="1:16" ht="56.25" x14ac:dyDescent="0.25">
      <c r="A12" s="412">
        <v>2</v>
      </c>
      <c r="B12" s="413" t="s">
        <v>335</v>
      </c>
      <c r="C12" s="409">
        <f>[1]Соцработники!C6</f>
        <v>63.3</v>
      </c>
      <c r="D12" s="408">
        <f>[1]Соцработники!J6</f>
        <v>2.819</v>
      </c>
      <c r="E12" s="409">
        <f>[1]Соцработники!L6</f>
        <v>178.4427</v>
      </c>
      <c r="F12" s="408">
        <f>[1]Соцработники!J14</f>
        <v>2.0372500000000002</v>
      </c>
      <c r="G12" s="409">
        <f>[1]Соцработники!L14</f>
        <v>128.95792500000002</v>
      </c>
      <c r="H12" s="410">
        <f t="shared" si="0"/>
        <v>-49.484774999999985</v>
      </c>
      <c r="I12" s="411"/>
      <c r="J12" s="411"/>
      <c r="K12" s="411"/>
      <c r="L12" s="411"/>
      <c r="M12" s="411"/>
      <c r="N12" s="411"/>
    </row>
    <row r="13" spans="1:16" ht="18.75" x14ac:dyDescent="0.25">
      <c r="A13" s="767" t="s">
        <v>338</v>
      </c>
      <c r="B13" s="767"/>
      <c r="C13" s="767"/>
      <c r="D13" s="767"/>
      <c r="E13" s="767"/>
      <c r="F13" s="767"/>
      <c r="G13" s="767"/>
      <c r="H13" s="414"/>
      <c r="I13" s="415"/>
      <c r="J13" s="415"/>
      <c r="K13" s="415"/>
      <c r="L13" s="415"/>
      <c r="M13" s="415"/>
      <c r="N13" s="415"/>
      <c r="O13" s="415"/>
      <c r="P13" s="411"/>
    </row>
    <row r="14" spans="1:16" ht="34.5" customHeight="1" x14ac:dyDescent="0.25">
      <c r="A14" s="416">
        <v>1</v>
      </c>
      <c r="B14" s="417" t="s">
        <v>334</v>
      </c>
      <c r="C14" s="418">
        <f>C5+C8+C11</f>
        <v>15284.75</v>
      </c>
      <c r="D14" s="418" t="s">
        <v>339</v>
      </c>
      <c r="E14" s="418">
        <f>E5+E8+E11</f>
        <v>52770.975249999996</v>
      </c>
      <c r="F14" s="418" t="s">
        <v>339</v>
      </c>
      <c r="G14" s="418">
        <f>G5+G8+G11</f>
        <v>36806.486437500003</v>
      </c>
      <c r="H14" s="410">
        <f>H11+H8+H5</f>
        <v>-15964.488812499992</v>
      </c>
      <c r="I14" s="419"/>
      <c r="J14" s="411"/>
      <c r="K14" s="411"/>
      <c r="L14" s="411"/>
      <c r="M14" s="411"/>
      <c r="N14" s="411"/>
    </row>
    <row r="15" spans="1:16" ht="56.25" x14ac:dyDescent="0.25">
      <c r="A15" s="416">
        <v>2</v>
      </c>
      <c r="B15" s="417" t="s">
        <v>335</v>
      </c>
      <c r="C15" s="418">
        <f>C6+C9+C12</f>
        <v>11362.499999999998</v>
      </c>
      <c r="D15" s="418" t="s">
        <v>339</v>
      </c>
      <c r="E15" s="418">
        <f>E6+E9+E12</f>
        <v>40759.357199999999</v>
      </c>
      <c r="F15" s="418" t="s">
        <v>339</v>
      </c>
      <c r="G15" s="418">
        <f>G6+G9+G12</f>
        <v>28306.162675000003</v>
      </c>
      <c r="H15" s="410">
        <f>H12+H9+H6</f>
        <v>-12453.194524999999</v>
      </c>
    </row>
    <row r="19" spans="2:7" ht="28.5" customHeight="1" x14ac:dyDescent="0.25">
      <c r="B19" s="764" t="s">
        <v>340</v>
      </c>
      <c r="C19" s="764"/>
      <c r="D19" s="764"/>
      <c r="E19" s="764"/>
      <c r="F19" s="764"/>
      <c r="G19" s="764"/>
    </row>
    <row r="21" spans="2:7" s="422" customFormat="1" ht="129" customHeight="1" x14ac:dyDescent="0.3">
      <c r="B21" s="420"/>
      <c r="C21" s="421" t="s">
        <v>334</v>
      </c>
      <c r="D21" s="421" t="s">
        <v>335</v>
      </c>
      <c r="E21" s="421" t="s">
        <v>341</v>
      </c>
      <c r="F21" s="421" t="s">
        <v>342</v>
      </c>
      <c r="G21" s="421" t="s">
        <v>343</v>
      </c>
    </row>
    <row r="22" spans="2:7" s="426" customFormat="1" ht="36" customHeight="1" x14ac:dyDescent="0.25">
      <c r="B22" s="423" t="s">
        <v>344</v>
      </c>
      <c r="C22" s="424">
        <f>'[1]Педработники Д'!C6+'[1]Педработники Д'!C29+'[1]Педработники Д'!C52</f>
        <v>716</v>
      </c>
      <c r="D22" s="424">
        <f>'[1]Педработники Д'!D6+'[1]Педработники Д'!D29+'[1]Педработники Д'!D52</f>
        <v>612.70000000000005</v>
      </c>
      <c r="E22" s="434">
        <f>'[1]Педработники Д'!M6+'[1]Педработники Д'!M29+'[1]Педработники Д'!M52</f>
        <v>1521.8257500000002</v>
      </c>
      <c r="F22" s="425">
        <f>'[1]Педработники Д'!P6+'[1]Педработники Д'!P29+'[1]Педработники Д'!P52</f>
        <v>1281.2265250000003</v>
      </c>
      <c r="G22" s="425">
        <f>F22-E22</f>
        <v>-240.59922499999993</v>
      </c>
    </row>
    <row r="23" spans="2:7" s="426" customFormat="1" ht="39" customHeight="1" x14ac:dyDescent="0.25">
      <c r="B23" s="423" t="s">
        <v>345</v>
      </c>
      <c r="C23" s="424">
        <f>[1]Медработники!C5</f>
        <v>1736.75</v>
      </c>
      <c r="D23" s="424">
        <f>[1]Медработники!C6</f>
        <v>1336</v>
      </c>
      <c r="E23" s="425">
        <f>[1]Медработники!L19</f>
        <v>3538.1939375000002</v>
      </c>
      <c r="F23" s="425">
        <f>[1]Медработники!L20</f>
        <v>2721.7660000000005</v>
      </c>
      <c r="G23" s="425">
        <f>F23-E23</f>
        <v>-816.42793749999964</v>
      </c>
    </row>
    <row r="24" spans="2:7" s="426" customFormat="1" ht="46.5" customHeight="1" x14ac:dyDescent="0.25">
      <c r="B24" s="423" t="s">
        <v>346</v>
      </c>
      <c r="C24" s="424">
        <f>[1]Медработники!C8+[1]Соцработники!C5</f>
        <v>348</v>
      </c>
      <c r="D24" s="424">
        <f>[1]Медработники!C9+[1]Соцработники!C6</f>
        <v>316.40000000000003</v>
      </c>
      <c r="E24" s="425">
        <f>[1]Медработники!L22+[1]Соцработники!L13</f>
        <v>708.96300000000008</v>
      </c>
      <c r="F24" s="425">
        <f>[1]Медработники!L23+[1]Соцработники!L14</f>
        <v>644.58590000000015</v>
      </c>
      <c r="G24" s="425">
        <f>F24-E24</f>
        <v>-64.377099999999928</v>
      </c>
    </row>
    <row r="25" spans="2:7" s="426" customFormat="1" ht="42.75" customHeight="1" x14ac:dyDescent="0.25">
      <c r="B25" s="423" t="s">
        <v>347</v>
      </c>
      <c r="C25" s="424">
        <f>SUM(C26:C44)</f>
        <v>12484</v>
      </c>
      <c r="D25" s="424">
        <f>SUM(D26:D44)</f>
        <v>9097.4</v>
      </c>
      <c r="E25" s="425">
        <f t="shared" ref="E25:G25" si="1">SUM(E26:E44)</f>
        <v>31037.503750000011</v>
      </c>
      <c r="F25" s="425">
        <f t="shared" si="1"/>
        <v>23658.584250000004</v>
      </c>
      <c r="G25" s="425">
        <f t="shared" si="1"/>
        <v>-7378.9195</v>
      </c>
    </row>
    <row r="26" spans="2:7" s="430" customFormat="1" ht="19.5" customHeight="1" x14ac:dyDescent="0.25">
      <c r="B26" s="427" t="s">
        <v>236</v>
      </c>
      <c r="C26" s="428">
        <f>[1]Педработники!C8+[1]Педработники!C31+[1]Педработники!C54</f>
        <v>499</v>
      </c>
      <c r="D26" s="428">
        <f>[1]Педработники!D8+[1]Педработники!D31+[1]Педработники!D54</f>
        <v>318.39999999999998</v>
      </c>
      <c r="E26" s="429">
        <f>'[1]Педработники Д'!M8+'[1]Педработники Д'!M31+'[1]Педработники Д'!M54</f>
        <v>1189.7540000000001</v>
      </c>
      <c r="F26" s="429">
        <f>'[1]Педработники Д'!P8+'[1]Педработники Д'!P31+'[1]Педработники Д'!P54</f>
        <v>804.91747500000008</v>
      </c>
      <c r="G26" s="429">
        <f>F26-E26</f>
        <v>-384.83652500000005</v>
      </c>
    </row>
    <row r="27" spans="2:7" s="430" customFormat="1" ht="19.5" customHeight="1" x14ac:dyDescent="0.25">
      <c r="B27" s="427" t="s">
        <v>316</v>
      </c>
      <c r="C27" s="428">
        <f>[1]Педработники!C9+[1]Педработники!C32+[1]Педработники!C55</f>
        <v>620</v>
      </c>
      <c r="D27" s="428">
        <f>[1]Педработники!D9+[1]Педработники!D32+[1]Педработники!D55</f>
        <v>433</v>
      </c>
      <c r="E27" s="429">
        <f>'[1]Педработники Д'!M9+'[1]Педработники Д'!M32+'[1]Педработники Д'!M55</f>
        <v>1515.7140000000002</v>
      </c>
      <c r="F27" s="429">
        <f>'[1]Педработники Д'!P9+'[1]Педработники Д'!P32+'[1]Педработники Д'!P55</f>
        <v>1113.357125</v>
      </c>
      <c r="G27" s="429">
        <f t="shared" ref="G27:G44" si="2">F27-E27</f>
        <v>-402.35687500000017</v>
      </c>
    </row>
    <row r="28" spans="2:7" s="430" customFormat="1" ht="19.5" customHeight="1" x14ac:dyDescent="0.25">
      <c r="B28" s="427" t="s">
        <v>348</v>
      </c>
      <c r="C28" s="428">
        <f>[1]Педработники!C10+[1]Педработники!C33+[1]Педработники!C56</f>
        <v>771</v>
      </c>
      <c r="D28" s="428">
        <f>[1]Педработники!D10+[1]Педработники!D33+[1]Педработники!D56</f>
        <v>725.3</v>
      </c>
      <c r="E28" s="429">
        <f>'[1]Педработники Д'!M10+'[1]Педработники Д'!M33+'[1]Педработники Д'!M56</f>
        <v>1996.5050000000001</v>
      </c>
      <c r="F28" s="429">
        <f>'[1]Педработники Д'!P10+'[1]Педработники Д'!P33+'[1]Педработники Д'!P56</f>
        <v>1900.9579750000003</v>
      </c>
      <c r="G28" s="429">
        <f t="shared" si="2"/>
        <v>-95.547024999999849</v>
      </c>
    </row>
    <row r="29" spans="2:7" s="430" customFormat="1" ht="19.5" customHeight="1" x14ac:dyDescent="0.25">
      <c r="B29" s="427" t="s">
        <v>349</v>
      </c>
      <c r="C29" s="428">
        <f>[1]Педработники!C11+[1]Педработники!C34+[1]Педработники!C57</f>
        <v>503</v>
      </c>
      <c r="D29" s="428">
        <f>[1]Педработники!D11+[1]Педработники!D34+[1]Педработники!D57</f>
        <v>472.09999999999997</v>
      </c>
      <c r="E29" s="429">
        <f>'[1]Педработники Д'!M11+'[1]Педработники Д'!M34+'[1]Педработники Д'!M57</f>
        <v>1301.8027500000003</v>
      </c>
      <c r="F29" s="429">
        <f>'[1]Педработники Д'!P11+'[1]Педработники Д'!P34+'[1]Педработники Д'!P57</f>
        <v>1222.553725</v>
      </c>
      <c r="G29" s="429">
        <f t="shared" si="2"/>
        <v>-79.249025000000302</v>
      </c>
    </row>
    <row r="30" spans="2:7" s="430" customFormat="1" ht="19.5" customHeight="1" x14ac:dyDescent="0.25">
      <c r="B30" s="427" t="s">
        <v>240</v>
      </c>
      <c r="C30" s="428">
        <f>[1]Педработники!C12+[1]Педработники!C35+[1]Педработники!C58</f>
        <v>1154</v>
      </c>
      <c r="D30" s="428">
        <f>[1]Педработники!D12+[1]Педработники!D35+[1]Педработники!D58</f>
        <v>827.09999999999991</v>
      </c>
      <c r="E30" s="429">
        <f>'[1]Педработники Д'!M12+'[1]Педработники Д'!M35+'[1]Педработники Д'!M58</f>
        <v>2864.3735000000001</v>
      </c>
      <c r="F30" s="429">
        <f>'[1]Педработники Д'!P12+'[1]Педработники Д'!P35+'[1]Педработники Д'!P58</f>
        <v>2138.9087750000003</v>
      </c>
      <c r="G30" s="429">
        <f t="shared" si="2"/>
        <v>-725.46472499999982</v>
      </c>
    </row>
    <row r="31" spans="2:7" s="430" customFormat="1" ht="19.5" customHeight="1" x14ac:dyDescent="0.25">
      <c r="B31" s="427" t="s">
        <v>241</v>
      </c>
      <c r="C31" s="428">
        <f>[1]Педработники!C13+[1]Педработники!C36+[1]Педработники!C59</f>
        <v>278</v>
      </c>
      <c r="D31" s="428">
        <f>[1]Педработники!D13+[1]Педработники!D36+[1]Педработники!D59</f>
        <v>232</v>
      </c>
      <c r="E31" s="429">
        <f>'[1]Педработники Д'!M13+'[1]Педработники Д'!M36+'[1]Педработники Д'!M59</f>
        <v>688.59050000000013</v>
      </c>
      <c r="F31" s="429">
        <f>'[1]Педработники Д'!P13+'[1]Педработники Д'!P36+'[1]Педработники Д'!P59</f>
        <v>590.80250000000001</v>
      </c>
      <c r="G31" s="429">
        <f t="shared" si="2"/>
        <v>-97.788000000000125</v>
      </c>
    </row>
    <row r="32" spans="2:7" s="430" customFormat="1" ht="19.5" customHeight="1" x14ac:dyDescent="0.25">
      <c r="B32" s="427" t="s">
        <v>242</v>
      </c>
      <c r="C32" s="428">
        <f>[1]Педработники!C14+[1]Педработники!C37+[1]Педработники!C60</f>
        <v>381</v>
      </c>
      <c r="D32" s="428">
        <f>[1]Педработники!D14+[1]Педработники!D37+[1]Педработники!D60</f>
        <v>276.5</v>
      </c>
      <c r="E32" s="429">
        <f>'[1]Педработники Д'!M14+'[1]Педработники Д'!M37+'[1]Педработники Д'!M60</f>
        <v>967.69375000000014</v>
      </c>
      <c r="F32" s="429">
        <f>'[1]Педработники Д'!P14+'[1]Педработники Д'!P37+'[1]Педработники Д'!P60</f>
        <v>728.3168750000001</v>
      </c>
      <c r="G32" s="429">
        <f t="shared" si="2"/>
        <v>-239.37687500000004</v>
      </c>
    </row>
    <row r="33" spans="2:7" s="430" customFormat="1" ht="19.5" customHeight="1" x14ac:dyDescent="0.25">
      <c r="B33" s="427" t="s">
        <v>350</v>
      </c>
      <c r="C33" s="428">
        <f>[1]Педработники!C15+[1]Педработники!C38+[1]Педработники!C61</f>
        <v>505</v>
      </c>
      <c r="D33" s="428">
        <f>[1]Педработники!D15+[1]Педработники!D38+[1]Педработники!D61</f>
        <v>337.5</v>
      </c>
      <c r="E33" s="429">
        <f>'[1]Педработники Д'!M15+'[1]Педработники Д'!M38+'[1]Педработники Д'!M61</f>
        <v>1167.3442500000001</v>
      </c>
      <c r="F33" s="429">
        <f>'[1]Педработники Д'!P15+'[1]Педработники Д'!P38+'[1]Педработники Д'!P61</f>
        <v>825.28997500000003</v>
      </c>
      <c r="G33" s="429">
        <f t="shared" si="2"/>
        <v>-342.05427500000008</v>
      </c>
    </row>
    <row r="34" spans="2:7" s="430" customFormat="1" ht="19.5" customHeight="1" x14ac:dyDescent="0.25">
      <c r="B34" s="427" t="s">
        <v>244</v>
      </c>
      <c r="C34" s="428">
        <f>[1]Педработники!C16+[1]Педработники!C39+[1]Педработники!C62</f>
        <v>442</v>
      </c>
      <c r="D34" s="428">
        <f>[1]Педработники!D16+[1]Педработники!D39+[1]Педработники!D62</f>
        <v>343.7</v>
      </c>
      <c r="E34" s="429">
        <f>'[1]Педработники Д'!M16+'[1]Педработники Д'!M39+'[1]Педработники Д'!M62</f>
        <v>1065.4817500000001</v>
      </c>
      <c r="F34" s="429">
        <f>'[1]Педработники Д'!P16+'[1]Педработники Д'!P39+'[1]Педработники Д'!P62</f>
        <v>860.53440000000012</v>
      </c>
      <c r="G34" s="429">
        <f t="shared" si="2"/>
        <v>-204.94735000000003</v>
      </c>
    </row>
    <row r="35" spans="2:7" s="430" customFormat="1" ht="19.5" customHeight="1" x14ac:dyDescent="0.25">
      <c r="B35" s="427" t="s">
        <v>351</v>
      </c>
      <c r="C35" s="428">
        <f>[1]Педработники!C17+[1]Педработники!C40+[1]Педработники!C63</f>
        <v>615</v>
      </c>
      <c r="D35" s="428">
        <f>[1]Педработники!D17+[1]Педработники!D40+[1]Педработники!D63</f>
        <v>395.9</v>
      </c>
      <c r="E35" s="429">
        <f>'[1]Педработники Д'!M17+'[1]Педработники Д'!M40+'[1]Педработники Д'!M63</f>
        <v>1432.1867500000001</v>
      </c>
      <c r="F35" s="429">
        <f>'[1]Педработники Д'!P17+'[1]Педработники Д'!P40+'[1]Педработники Д'!P63</f>
        <v>966.47140000000002</v>
      </c>
      <c r="G35" s="429">
        <f t="shared" si="2"/>
        <v>-465.71535000000006</v>
      </c>
    </row>
    <row r="36" spans="2:7" s="430" customFormat="1" ht="19.5" customHeight="1" x14ac:dyDescent="0.25">
      <c r="B36" s="427" t="s">
        <v>246</v>
      </c>
      <c r="C36" s="428">
        <f>[1]Педработники!C18+[1]Педработники!C41+[1]Педработники!C64</f>
        <v>465</v>
      </c>
      <c r="D36" s="428">
        <f>[1]Педработники!D18+[1]Педработники!D41+[1]Педработники!D64</f>
        <v>358.7</v>
      </c>
      <c r="E36" s="429">
        <f>'[1]Педработники Д'!M18+'[1]Педработники Д'!M41+'[1]Педработники Д'!M64</f>
        <v>1153.0835000000002</v>
      </c>
      <c r="F36" s="429">
        <f>'[1]Педработники Д'!P18+'[1]Педработники Д'!P41+'[1]Педработники Д'!P64</f>
        <v>935.91264999999999</v>
      </c>
      <c r="G36" s="429">
        <f t="shared" si="2"/>
        <v>-217.1708500000002</v>
      </c>
    </row>
    <row r="37" spans="2:7" s="430" customFormat="1" ht="19.5" customHeight="1" x14ac:dyDescent="0.25">
      <c r="B37" s="427" t="s">
        <v>253</v>
      </c>
      <c r="C37" s="428">
        <f>[1]Педработники!C19+[1]Педработники!C42+[1]Педработники!C65</f>
        <v>60</v>
      </c>
      <c r="D37" s="428">
        <f>[1]Педработники!D19+[1]Педработники!D42+[1]Педработники!D65</f>
        <v>60.5</v>
      </c>
      <c r="E37" s="429">
        <f>'[1]Педработники Д'!M19+'[1]Педработники Д'!M42+'[1]Педработники Д'!M65</f>
        <v>140.57025000000002</v>
      </c>
      <c r="F37" s="429">
        <f>'[1]Педработники Д'!P19+'[1]Педработники Д'!P42+'[1]Педработники Д'!P65</f>
        <v>140.57025000000002</v>
      </c>
      <c r="G37" s="429">
        <f t="shared" si="2"/>
        <v>0</v>
      </c>
    </row>
    <row r="38" spans="2:7" s="430" customFormat="1" ht="19.5" customHeight="1" x14ac:dyDescent="0.25">
      <c r="B38" s="427" t="s">
        <v>247</v>
      </c>
      <c r="C38" s="428">
        <f>[1]Педработники!C20+[1]Педработники!C43+[1]Педработники!C66</f>
        <v>299</v>
      </c>
      <c r="D38" s="428">
        <f>[1]Педработники!D20+[1]Педработники!D43+[1]Педработники!D66</f>
        <v>254.3</v>
      </c>
      <c r="E38" s="429">
        <f>'[1]Педработники Д'!M20+'[1]Педработники Д'!M43+'[1]Педработники Д'!M66</f>
        <v>719.14925000000017</v>
      </c>
      <c r="F38" s="429">
        <f>'[1]Педработники Д'!P20+'[1]Педработники Д'!P43+'[1]Педработники Д'!P66</f>
        <v>626.65809999999999</v>
      </c>
      <c r="G38" s="429">
        <f t="shared" si="2"/>
        <v>-92.491150000000175</v>
      </c>
    </row>
    <row r="39" spans="2:7" s="430" customFormat="1" ht="19.5" customHeight="1" x14ac:dyDescent="0.25">
      <c r="B39" s="427" t="s">
        <v>249</v>
      </c>
      <c r="C39" s="428">
        <f>[1]Педработники!C21+[1]Педработники!C44+[1]Педработники!C67</f>
        <v>683</v>
      </c>
      <c r="D39" s="428">
        <f>[1]Педработники!D21+[1]Педработники!D44+[1]Педработники!D67</f>
        <v>675.8</v>
      </c>
      <c r="E39" s="429">
        <f>'[1]Педработники Д'!M21+'[1]Педработники Д'!M44+'[1]Педработники Д'!M67</f>
        <v>1692.9547500000001</v>
      </c>
      <c r="F39" s="429">
        <f>'[1]Педработники Д'!P21+'[1]Педработники Д'!P44+'[1]Педработники Д'!P67</f>
        <v>1677.8791000000001</v>
      </c>
      <c r="G39" s="429">
        <f t="shared" si="2"/>
        <v>-15.075649999999996</v>
      </c>
    </row>
    <row r="40" spans="2:7" s="430" customFormat="1" ht="19.5" customHeight="1" x14ac:dyDescent="0.25">
      <c r="B40" s="427" t="s">
        <v>250</v>
      </c>
      <c r="C40" s="428">
        <f>[1]Педработники!C22+[1]Педработники!C45+[1]Педработники!C68</f>
        <v>203</v>
      </c>
      <c r="D40" s="428">
        <f>[1]Педработники!D22+[1]Педработники!D45+[1]Педработники!D68</f>
        <v>185.5</v>
      </c>
      <c r="E40" s="429">
        <f>'[1]Педработники Д'!M22+'[1]Педработники Д'!M45+'[1]Педработники Д'!M68</f>
        <v>480.79100000000005</v>
      </c>
      <c r="F40" s="429">
        <f>'[1]Педработники Д'!P22+'[1]Педработники Д'!P45+'[1]Педработники Д'!P68</f>
        <v>446.15775000000008</v>
      </c>
      <c r="G40" s="429">
        <f t="shared" si="2"/>
        <v>-34.633249999999975</v>
      </c>
    </row>
    <row r="41" spans="2:7" s="430" customFormat="1" ht="19.5" customHeight="1" x14ac:dyDescent="0.25">
      <c r="B41" s="427" t="s">
        <v>251</v>
      </c>
      <c r="C41" s="428">
        <f>[1]Педработники!C23+[1]Педработники!C46+[1]Педработники!C69</f>
        <v>359</v>
      </c>
      <c r="D41" s="428">
        <f>[1]Педработники!D23+[1]Педработники!D46+[1]Педработники!D69</f>
        <v>225.1</v>
      </c>
      <c r="E41" s="429">
        <f>'[1]Педработники Д'!M23+'[1]Педработники Д'!M46+'[1]Педработники Д'!M69</f>
        <v>863.79400000000021</v>
      </c>
      <c r="F41" s="429">
        <f>'[1]Педработники Д'!P23+'[1]Педработники Д'!P46+'[1]Педработники Д'!P69</f>
        <v>577.56037500000002</v>
      </c>
      <c r="G41" s="429">
        <f t="shared" si="2"/>
        <v>-286.23362500000019</v>
      </c>
    </row>
    <row r="42" spans="2:7" s="430" customFormat="1" ht="19.5" customHeight="1" x14ac:dyDescent="0.25">
      <c r="B42" s="427" t="s">
        <v>252</v>
      </c>
      <c r="C42" s="428">
        <f>[1]Педработники!C24+[1]Педработники!C47+[1]Педработники!C70</f>
        <v>353</v>
      </c>
      <c r="D42" s="428">
        <f>[1]Педработники!D24+[1]Педработники!D47+[1]Педработники!D70</f>
        <v>287</v>
      </c>
      <c r="E42" s="429">
        <f>'[1]Педработники Д'!M24+'[1]Педработники Д'!M47+'[1]Педработники Д'!M70</f>
        <v>894.35275000000013</v>
      </c>
      <c r="F42" s="429">
        <f>'[1]Педработники Д'!P24+'[1]Педработники Д'!P47+'[1]Педработники Д'!P70</f>
        <v>745.63350000000003</v>
      </c>
      <c r="G42" s="429">
        <f t="shared" si="2"/>
        <v>-148.7192500000001</v>
      </c>
    </row>
    <row r="43" spans="2:7" s="430" customFormat="1" ht="19.5" customHeight="1" x14ac:dyDescent="0.25">
      <c r="B43" s="427" t="s">
        <v>206</v>
      </c>
      <c r="C43" s="428">
        <f>[1]Педработники!C25+[1]Педработники!C48+[1]Педработники!C71</f>
        <v>527</v>
      </c>
      <c r="D43" s="428">
        <f>[1]Педработники!D25+[1]Педработники!D48+[1]Педработники!D71</f>
        <v>376</v>
      </c>
      <c r="E43" s="429">
        <f>'[1]Педработники Д'!M25+'[1]Педработники Д'!M48+'[1]Педработники Д'!M71</f>
        <v>1342.5477500000002</v>
      </c>
      <c r="F43" s="429">
        <f>'[1]Педработники Д'!P25+'[1]Педработники Д'!P48+'[1]Педработники Д'!P71</f>
        <v>1027.3851750000001</v>
      </c>
      <c r="G43" s="429">
        <f t="shared" si="2"/>
        <v>-315.16257500000006</v>
      </c>
    </row>
    <row r="44" spans="2:7" s="430" customFormat="1" ht="19.5" customHeight="1" x14ac:dyDescent="0.25">
      <c r="B44" s="427" t="s">
        <v>205</v>
      </c>
      <c r="C44" s="428">
        <f>[1]Педработники!C26+[1]Педработники!C49+[1]Педработники!C72</f>
        <v>3767</v>
      </c>
      <c r="D44" s="428">
        <f>[1]Педработники!D26+[1]Педработники!D49+[1]Педработники!D72</f>
        <v>2313</v>
      </c>
      <c r="E44" s="429">
        <f>'[1]Педработники Д'!M26+'[1]Педработники Д'!M49+'[1]Педработники Д'!M72</f>
        <v>9560.8142499999994</v>
      </c>
      <c r="F44" s="429">
        <f>'[1]Педработники Д'!P26+'[1]Педработники Д'!P49+'[1]Педработники Д'!P72</f>
        <v>6328.7171250000001</v>
      </c>
      <c r="G44" s="429">
        <f t="shared" si="2"/>
        <v>-3232.0971249999993</v>
      </c>
    </row>
    <row r="45" spans="2:7" ht="18.75" x14ac:dyDescent="0.25">
      <c r="B45" s="431" t="s">
        <v>338</v>
      </c>
      <c r="C45" s="432">
        <f>C22+C23+C24+C25</f>
        <v>15284.75</v>
      </c>
      <c r="D45" s="432">
        <f t="shared" ref="D45:G45" si="3">D22+D23+D24+D25</f>
        <v>11362.5</v>
      </c>
      <c r="E45" s="433">
        <f>E22+E23+E24+E25</f>
        <v>36806.486437500011</v>
      </c>
      <c r="F45" s="433">
        <f t="shared" si="3"/>
        <v>28306.162675000003</v>
      </c>
      <c r="G45" s="433">
        <f t="shared" si="3"/>
        <v>-8500.3237625000002</v>
      </c>
    </row>
  </sheetData>
  <mergeCells count="6">
    <mergeCell ref="B19:G19"/>
    <mergeCell ref="A1:G1"/>
    <mergeCell ref="A4:G4"/>
    <mergeCell ref="A7:G7"/>
    <mergeCell ref="A10:G10"/>
    <mergeCell ref="A13:G13"/>
  </mergeCells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>
    <tabColor theme="5" tint="-0.249977111117893"/>
    <pageSetUpPr fitToPage="1"/>
  </sheetPr>
  <dimension ref="A1:V17"/>
  <sheetViews>
    <sheetView view="pageBreakPreview" zoomScale="115" zoomScaleNormal="100" zoomScaleSheetLayoutView="115" workbookViewId="0">
      <selection activeCell="G26" sqref="G26"/>
    </sheetView>
  </sheetViews>
  <sheetFormatPr defaultRowHeight="12.75" x14ac:dyDescent="0.2"/>
  <cols>
    <col min="1" max="1" width="4.42578125" style="274" customWidth="1"/>
    <col min="2" max="2" width="20.28515625" style="274" customWidth="1"/>
    <col min="3" max="3" width="29.28515625" style="274" customWidth="1"/>
    <col min="4" max="4" width="11.140625" style="274" customWidth="1"/>
    <col min="5" max="5" width="11.140625" style="274" hidden="1" customWidth="1"/>
    <col min="6" max="12" width="11.140625" style="274" customWidth="1"/>
    <col min="13" max="13" width="10.28515625" style="274" customWidth="1"/>
    <col min="14" max="15" width="9.140625" style="274"/>
    <col min="16" max="16" width="9.5703125" style="274" bestFit="1" customWidth="1"/>
    <col min="17" max="19" width="9.140625" style="274"/>
    <col min="20" max="21" width="9.140625" style="246"/>
    <col min="22" max="22" width="10.5703125" style="246" customWidth="1"/>
    <col min="23" max="16384" width="9.140625" style="246"/>
  </cols>
  <sheetData>
    <row r="1" spans="1:22" ht="26.25" customHeight="1" x14ac:dyDescent="0.2">
      <c r="A1" s="768" t="s">
        <v>352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436"/>
    </row>
    <row r="2" spans="1:22" ht="13.5" customHeight="1" x14ac:dyDescent="0.2">
      <c r="C2" s="769" t="s">
        <v>70</v>
      </c>
      <c r="D2" s="769"/>
      <c r="E2" s="769"/>
      <c r="F2" s="769"/>
      <c r="G2" s="769"/>
      <c r="H2" s="769"/>
      <c r="I2" s="769"/>
      <c r="J2" s="769"/>
      <c r="K2" s="769"/>
      <c r="L2" s="769"/>
    </row>
    <row r="3" spans="1:22" ht="27.75" customHeight="1" x14ac:dyDescent="0.2">
      <c r="A3" s="770" t="s">
        <v>17</v>
      </c>
      <c r="B3" s="771" t="s">
        <v>353</v>
      </c>
      <c r="C3" s="771" t="s">
        <v>354</v>
      </c>
      <c r="D3" s="771" t="s">
        <v>355</v>
      </c>
      <c r="E3" s="773" t="s">
        <v>356</v>
      </c>
      <c r="F3" s="770" t="s">
        <v>81</v>
      </c>
      <c r="G3" s="770"/>
      <c r="H3" s="770" t="s">
        <v>357</v>
      </c>
      <c r="I3" s="770"/>
      <c r="J3" s="775" t="s">
        <v>69</v>
      </c>
      <c r="K3" s="777" t="s">
        <v>358</v>
      </c>
      <c r="L3" s="778"/>
      <c r="M3" s="770" t="s">
        <v>359</v>
      </c>
      <c r="N3" s="779" t="s">
        <v>360</v>
      </c>
      <c r="O3" s="780" t="s">
        <v>361</v>
      </c>
      <c r="P3" s="780" t="s">
        <v>362</v>
      </c>
    </row>
    <row r="4" spans="1:22" ht="34.5" customHeight="1" x14ac:dyDescent="0.2">
      <c r="A4" s="770"/>
      <c r="B4" s="772"/>
      <c r="C4" s="772"/>
      <c r="D4" s="772"/>
      <c r="E4" s="774"/>
      <c r="F4" s="437" t="s">
        <v>363</v>
      </c>
      <c r="G4" s="437" t="s">
        <v>364</v>
      </c>
      <c r="H4" s="437" t="s">
        <v>363</v>
      </c>
      <c r="I4" s="437" t="s">
        <v>364</v>
      </c>
      <c r="J4" s="776"/>
      <c r="K4" s="437" t="s">
        <v>363</v>
      </c>
      <c r="L4" s="437" t="s">
        <v>364</v>
      </c>
      <c r="M4" s="770"/>
      <c r="N4" s="779"/>
      <c r="O4" s="781"/>
      <c r="P4" s="781"/>
    </row>
    <row r="5" spans="1:22" x14ac:dyDescent="0.2">
      <c r="A5" s="438" t="s">
        <v>365</v>
      </c>
      <c r="B5" s="439" t="s">
        <v>366</v>
      </c>
      <c r="C5" s="440" t="s">
        <v>367</v>
      </c>
      <c r="D5" s="438">
        <f>SUM(F5+G5)</f>
        <v>88</v>
      </c>
      <c r="E5" s="438"/>
      <c r="F5" s="438">
        <v>40</v>
      </c>
      <c r="G5" s="438">
        <v>48</v>
      </c>
      <c r="H5" s="438">
        <v>34.6</v>
      </c>
      <c r="I5" s="438">
        <v>55</v>
      </c>
      <c r="J5" s="441">
        <f>K5+L5</f>
        <v>4024</v>
      </c>
      <c r="K5" s="438">
        <f>F5*H5</f>
        <v>1384</v>
      </c>
      <c r="L5" s="438">
        <f>G5*I5</f>
        <v>2640</v>
      </c>
      <c r="M5" s="438">
        <v>1000</v>
      </c>
      <c r="N5" s="442">
        <f>SUM(D5*M5)/1000</f>
        <v>88</v>
      </c>
      <c r="O5" s="443">
        <f>(J5-N5)/1.302</f>
        <v>3023.0414746543779</v>
      </c>
      <c r="P5" s="443">
        <f>O5*0.302</f>
        <v>912.95852534562209</v>
      </c>
      <c r="R5" s="444"/>
      <c r="S5" s="444"/>
      <c r="T5" s="445"/>
      <c r="U5" s="445"/>
      <c r="V5" s="445"/>
    </row>
    <row r="6" spans="1:22" x14ac:dyDescent="0.2">
      <c r="A6" s="438" t="s">
        <v>368</v>
      </c>
      <c r="B6" s="439" t="s">
        <v>366</v>
      </c>
      <c r="C6" s="440" t="s">
        <v>369</v>
      </c>
      <c r="D6" s="438">
        <f t="shared" ref="D6:D14" si="0">SUM(F6+G6)</f>
        <v>60</v>
      </c>
      <c r="E6" s="438"/>
      <c r="F6" s="438">
        <v>34</v>
      </c>
      <c r="G6" s="438">
        <v>26</v>
      </c>
      <c r="H6" s="438">
        <v>34.6</v>
      </c>
      <c r="I6" s="438">
        <v>55</v>
      </c>
      <c r="J6" s="441">
        <f t="shared" ref="J6:J10" si="1">K6+L6</f>
        <v>2606.4</v>
      </c>
      <c r="K6" s="438">
        <f t="shared" ref="K6:L14" si="2">F6*H6</f>
        <v>1176.4000000000001</v>
      </c>
      <c r="L6" s="438">
        <f t="shared" si="2"/>
        <v>1430</v>
      </c>
      <c r="M6" s="438">
        <v>1000</v>
      </c>
      <c r="N6" s="442">
        <f t="shared" ref="N6:N10" si="3">SUM(D6*M6)/1000</f>
        <v>60</v>
      </c>
      <c r="O6" s="443">
        <f t="shared" ref="O6:O10" si="4">(J6-N6)/1.302</f>
        <v>1955.7603686635944</v>
      </c>
      <c r="P6" s="443">
        <f t="shared" ref="P6:P10" si="5">O6*0.302</f>
        <v>590.6396313364055</v>
      </c>
      <c r="R6" s="444"/>
      <c r="S6" s="444"/>
      <c r="T6" s="445"/>
      <c r="U6" s="445"/>
      <c r="V6" s="445"/>
    </row>
    <row r="7" spans="1:22" ht="25.5" x14ac:dyDescent="0.2">
      <c r="A7" s="438" t="s">
        <v>370</v>
      </c>
      <c r="B7" s="439" t="s">
        <v>371</v>
      </c>
      <c r="C7" s="440" t="s">
        <v>372</v>
      </c>
      <c r="D7" s="438">
        <f t="shared" si="0"/>
        <v>82</v>
      </c>
      <c r="E7" s="438">
        <v>7</v>
      </c>
      <c r="F7" s="438">
        <v>52</v>
      </c>
      <c r="G7" s="438">
        <v>30</v>
      </c>
      <c r="H7" s="438">
        <v>61.8</v>
      </c>
      <c r="I7" s="438">
        <v>73.900000000000006</v>
      </c>
      <c r="J7" s="441">
        <f t="shared" si="1"/>
        <v>5430.6</v>
      </c>
      <c r="K7" s="438">
        <f t="shared" si="2"/>
        <v>3213.6</v>
      </c>
      <c r="L7" s="438">
        <f t="shared" si="2"/>
        <v>2217</v>
      </c>
      <c r="M7" s="438">
        <v>1000</v>
      </c>
      <c r="N7" s="442">
        <f t="shared" si="3"/>
        <v>82</v>
      </c>
      <c r="O7" s="443">
        <f t="shared" si="4"/>
        <v>4107.9877112135182</v>
      </c>
      <c r="P7" s="443">
        <f t="shared" si="5"/>
        <v>1240.6122887864824</v>
      </c>
      <c r="R7" s="444"/>
      <c r="S7" s="444"/>
      <c r="T7" s="445"/>
      <c r="U7" s="445"/>
      <c r="V7" s="445"/>
    </row>
    <row r="8" spans="1:22" ht="25.5" x14ac:dyDescent="0.2">
      <c r="A8" s="438" t="s">
        <v>373</v>
      </c>
      <c r="B8" s="439" t="s">
        <v>374</v>
      </c>
      <c r="C8" s="440" t="s">
        <v>375</v>
      </c>
      <c r="D8" s="438">
        <f t="shared" si="0"/>
        <v>28</v>
      </c>
      <c r="E8" s="438">
        <v>9.75</v>
      </c>
      <c r="F8" s="438">
        <v>12</v>
      </c>
      <c r="G8" s="438">
        <v>16</v>
      </c>
      <c r="H8" s="438">
        <v>79.599999999999994</v>
      </c>
      <c r="I8" s="438">
        <v>95.3</v>
      </c>
      <c r="J8" s="441">
        <f t="shared" si="1"/>
        <v>2480</v>
      </c>
      <c r="K8" s="438">
        <f t="shared" si="2"/>
        <v>955.19999999999993</v>
      </c>
      <c r="L8" s="438">
        <f t="shared" si="2"/>
        <v>1524.8</v>
      </c>
      <c r="M8" s="438">
        <v>1200</v>
      </c>
      <c r="N8" s="442">
        <f>SUM(D8*M8)/1000</f>
        <v>33.6</v>
      </c>
      <c r="O8" s="443">
        <f t="shared" si="4"/>
        <v>1878.9554531490016</v>
      </c>
      <c r="P8" s="443">
        <f t="shared" si="5"/>
        <v>567.44454685099845</v>
      </c>
      <c r="R8" s="444"/>
      <c r="S8" s="444"/>
      <c r="T8" s="445"/>
      <c r="U8" s="445"/>
      <c r="V8" s="445"/>
    </row>
    <row r="9" spans="1:22" x14ac:dyDescent="0.2">
      <c r="A9" s="438" t="s">
        <v>376</v>
      </c>
      <c r="B9" s="439" t="s">
        <v>199</v>
      </c>
      <c r="C9" s="440" t="s">
        <v>199</v>
      </c>
      <c r="D9" s="438">
        <f t="shared" si="0"/>
        <v>60</v>
      </c>
      <c r="E9" s="438"/>
      <c r="F9" s="438">
        <v>25</v>
      </c>
      <c r="G9" s="438">
        <v>35</v>
      </c>
      <c r="H9" s="438">
        <v>74.7</v>
      </c>
      <c r="I9" s="438">
        <v>89.4</v>
      </c>
      <c r="J9" s="446">
        <f>K9+L9</f>
        <v>4996.5</v>
      </c>
      <c r="K9" s="438">
        <f t="shared" si="2"/>
        <v>1867.5</v>
      </c>
      <c r="L9" s="438">
        <f t="shared" si="2"/>
        <v>3129</v>
      </c>
      <c r="M9" s="438">
        <v>1200</v>
      </c>
      <c r="N9" s="442">
        <f>SUM(D9*M9)/1000</f>
        <v>72</v>
      </c>
      <c r="O9" s="443">
        <f>(J9-N9)/1.302</f>
        <v>3782.2580645161288</v>
      </c>
      <c r="P9" s="443">
        <f t="shared" si="5"/>
        <v>1142.241935483871</v>
      </c>
      <c r="R9" s="444"/>
      <c r="S9" s="444"/>
      <c r="T9" s="445"/>
      <c r="U9" s="445"/>
      <c r="V9" s="445"/>
    </row>
    <row r="10" spans="1:22" x14ac:dyDescent="0.2">
      <c r="A10" s="438" t="s">
        <v>377</v>
      </c>
      <c r="B10" s="439" t="s">
        <v>366</v>
      </c>
      <c r="C10" s="447" t="s">
        <v>378</v>
      </c>
      <c r="D10" s="438">
        <f t="shared" si="0"/>
        <v>86</v>
      </c>
      <c r="E10" s="448"/>
      <c r="F10" s="448">
        <v>44</v>
      </c>
      <c r="G10" s="448">
        <v>42</v>
      </c>
      <c r="H10" s="448">
        <v>34.6</v>
      </c>
      <c r="I10" s="448">
        <v>55</v>
      </c>
      <c r="J10" s="446">
        <f t="shared" si="1"/>
        <v>3832.4</v>
      </c>
      <c r="K10" s="438">
        <f t="shared" si="2"/>
        <v>1522.4</v>
      </c>
      <c r="L10" s="438">
        <f t="shared" si="2"/>
        <v>2310</v>
      </c>
      <c r="M10" s="449">
        <v>1000</v>
      </c>
      <c r="N10" s="442">
        <f t="shared" si="3"/>
        <v>86</v>
      </c>
      <c r="O10" s="443">
        <f t="shared" si="4"/>
        <v>2877.4193548387098</v>
      </c>
      <c r="P10" s="443">
        <f t="shared" si="5"/>
        <v>868.98064516129034</v>
      </c>
      <c r="R10" s="444"/>
      <c r="S10" s="444"/>
      <c r="T10" s="445"/>
      <c r="U10" s="445"/>
      <c r="V10" s="445"/>
    </row>
    <row r="11" spans="1:22" ht="25.5" x14ac:dyDescent="0.2">
      <c r="A11" s="438">
        <v>7</v>
      </c>
      <c r="B11" s="439" t="s">
        <v>190</v>
      </c>
      <c r="C11" s="440" t="s">
        <v>379</v>
      </c>
      <c r="D11" s="438">
        <f t="shared" si="0"/>
        <v>80</v>
      </c>
      <c r="E11" s="448"/>
      <c r="F11" s="448">
        <v>25</v>
      </c>
      <c r="G11" s="448">
        <v>55</v>
      </c>
      <c r="H11" s="448">
        <v>61.8</v>
      </c>
      <c r="I11" s="448">
        <v>73.900000000000006</v>
      </c>
      <c r="J11" s="446">
        <f>K11+L11</f>
        <v>5609.5</v>
      </c>
      <c r="K11" s="438">
        <f t="shared" si="2"/>
        <v>1545</v>
      </c>
      <c r="L11" s="438">
        <f t="shared" si="2"/>
        <v>4064.5000000000005</v>
      </c>
      <c r="M11" s="438">
        <v>1000</v>
      </c>
      <c r="N11" s="442">
        <f>SUM(D11*M11)/1000</f>
        <v>80</v>
      </c>
      <c r="O11" s="443">
        <f>(J11-N11)/1.302</f>
        <v>4246.9278033794162</v>
      </c>
      <c r="P11" s="443">
        <f>O11*0.302</f>
        <v>1282.5721966205836</v>
      </c>
      <c r="R11" s="444"/>
      <c r="S11" s="444"/>
      <c r="T11" s="445"/>
      <c r="U11" s="445"/>
      <c r="V11" s="445"/>
    </row>
    <row r="12" spans="1:22" x14ac:dyDescent="0.2">
      <c r="A12" s="438">
        <v>8</v>
      </c>
      <c r="B12" s="439" t="s">
        <v>366</v>
      </c>
      <c r="C12" s="440" t="s">
        <v>380</v>
      </c>
      <c r="D12" s="438">
        <f t="shared" si="0"/>
        <v>90</v>
      </c>
      <c r="E12" s="448"/>
      <c r="F12" s="448">
        <v>30</v>
      </c>
      <c r="G12" s="448">
        <v>60</v>
      </c>
      <c r="H12" s="438">
        <v>34.6</v>
      </c>
      <c r="I12" s="438">
        <v>55</v>
      </c>
      <c r="J12" s="446">
        <f t="shared" ref="J12:J14" si="6">K12+L12</f>
        <v>4338</v>
      </c>
      <c r="K12" s="438">
        <f t="shared" si="2"/>
        <v>1038</v>
      </c>
      <c r="L12" s="438">
        <f t="shared" si="2"/>
        <v>3300</v>
      </c>
      <c r="M12" s="438">
        <v>1000</v>
      </c>
      <c r="N12" s="442">
        <f>SUM(D12*M12)/1000</f>
        <v>90</v>
      </c>
      <c r="O12" s="443">
        <f>(J12-N12)/1.302</f>
        <v>3262.6728110599079</v>
      </c>
      <c r="P12" s="443">
        <f>O12*0.302</f>
        <v>985.32718894009213</v>
      </c>
      <c r="R12" s="444"/>
      <c r="S12" s="444"/>
      <c r="T12" s="445"/>
      <c r="U12" s="445"/>
      <c r="V12" s="445"/>
    </row>
    <row r="13" spans="1:22" x14ac:dyDescent="0.2">
      <c r="A13" s="438">
        <v>9</v>
      </c>
      <c r="B13" s="439" t="s">
        <v>381</v>
      </c>
      <c r="C13" s="440" t="s">
        <v>382</v>
      </c>
      <c r="D13" s="438">
        <f t="shared" si="0"/>
        <v>60</v>
      </c>
      <c r="E13" s="448"/>
      <c r="F13" s="448">
        <v>10</v>
      </c>
      <c r="G13" s="448">
        <v>50</v>
      </c>
      <c r="H13" s="438">
        <v>34.6</v>
      </c>
      <c r="I13" s="438">
        <v>55</v>
      </c>
      <c r="J13" s="446">
        <f t="shared" si="6"/>
        <v>3096</v>
      </c>
      <c r="K13" s="438">
        <f>F13*H13</f>
        <v>346</v>
      </c>
      <c r="L13" s="438">
        <f t="shared" si="2"/>
        <v>2750</v>
      </c>
      <c r="M13" s="438">
        <v>1000</v>
      </c>
      <c r="N13" s="442">
        <f>SUM(D13*M13)/1000</f>
        <v>60</v>
      </c>
      <c r="O13" s="443">
        <f>(J13-N13)/1.302</f>
        <v>2331.7972350230416</v>
      </c>
      <c r="P13" s="443">
        <f>O13*0.302</f>
        <v>704.20276497695852</v>
      </c>
      <c r="R13" s="444"/>
      <c r="T13" s="445"/>
    </row>
    <row r="14" spans="1:22" x14ac:dyDescent="0.2">
      <c r="A14" s="438">
        <v>10</v>
      </c>
      <c r="B14" s="439" t="s">
        <v>383</v>
      </c>
      <c r="C14" s="440" t="s">
        <v>384</v>
      </c>
      <c r="D14" s="438">
        <f t="shared" si="0"/>
        <v>122</v>
      </c>
      <c r="E14" s="448"/>
      <c r="F14" s="448">
        <v>36</v>
      </c>
      <c r="G14" s="448">
        <v>86</v>
      </c>
      <c r="H14" s="438">
        <v>34.6</v>
      </c>
      <c r="I14" s="438">
        <v>55</v>
      </c>
      <c r="J14" s="446">
        <f t="shared" si="6"/>
        <v>5975.6</v>
      </c>
      <c r="K14" s="438">
        <f>F14*H14</f>
        <v>1245.6000000000001</v>
      </c>
      <c r="L14" s="438">
        <f t="shared" si="2"/>
        <v>4730</v>
      </c>
      <c r="M14" s="438">
        <v>1000</v>
      </c>
      <c r="N14" s="442">
        <f>SUM(D14*M14)/1000</f>
        <v>122</v>
      </c>
      <c r="O14" s="443">
        <f>(J14-N14)/1.302</f>
        <v>4495.852534562212</v>
      </c>
      <c r="P14" s="443">
        <f>O14*0.302</f>
        <v>1357.7474654377879</v>
      </c>
      <c r="R14" s="444"/>
      <c r="T14" s="445"/>
      <c r="V14" s="445"/>
    </row>
    <row r="15" spans="1:22" ht="24.75" customHeight="1" x14ac:dyDescent="0.2">
      <c r="A15" s="439"/>
      <c r="B15" s="439"/>
      <c r="C15" s="450" t="s">
        <v>18</v>
      </c>
      <c r="D15" s="451">
        <f>SUM(D5:D13)</f>
        <v>634</v>
      </c>
      <c r="E15" s="451">
        <f t="shared" ref="E15:P15" si="7">SUM(E5:E13)</f>
        <v>16.75</v>
      </c>
      <c r="F15" s="451">
        <f>SUM(F5:F14)</f>
        <v>308</v>
      </c>
      <c r="G15" s="451">
        <f>SUM(G5:G14)</f>
        <v>448</v>
      </c>
      <c r="H15" s="451">
        <f>SUM(H5:H14)</f>
        <v>485.50000000000011</v>
      </c>
      <c r="I15" s="451">
        <f>SUM(I5:I14)</f>
        <v>662.5</v>
      </c>
      <c r="J15" s="452">
        <f>SUM(J5:J14)</f>
        <v>42389</v>
      </c>
      <c r="K15" s="453">
        <f t="shared" ref="K15:L15" si="8">SUM(K5:K14)</f>
        <v>14293.7</v>
      </c>
      <c r="L15" s="453">
        <f t="shared" si="8"/>
        <v>28095.3</v>
      </c>
      <c r="M15" s="451">
        <f t="shared" si="7"/>
        <v>9400</v>
      </c>
      <c r="N15" s="451">
        <f t="shared" si="7"/>
        <v>651.6</v>
      </c>
      <c r="O15" s="451">
        <f t="shared" si="7"/>
        <v>27466.820276497696</v>
      </c>
      <c r="P15" s="451">
        <f t="shared" si="7"/>
        <v>8294.9797235023034</v>
      </c>
      <c r="Q15" s="454"/>
      <c r="R15" s="454"/>
    </row>
    <row r="16" spans="1:22" x14ac:dyDescent="0.2"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4"/>
    </row>
    <row r="17" spans="2:17" x14ac:dyDescent="0.2">
      <c r="B17" s="274" t="s">
        <v>385</v>
      </c>
      <c r="O17" s="456">
        <f>J15-P15-O15</f>
        <v>6627.2000000000044</v>
      </c>
      <c r="Q17" s="454"/>
    </row>
  </sheetData>
  <mergeCells count="15">
    <mergeCell ref="M3:M4"/>
    <mergeCell ref="N3:N4"/>
    <mergeCell ref="O3:O4"/>
    <mergeCell ref="P3:P4"/>
    <mergeCell ref="A1:L1"/>
    <mergeCell ref="C2:L2"/>
    <mergeCell ref="A3:A4"/>
    <mergeCell ref="B3:B4"/>
    <mergeCell ref="C3:C4"/>
    <mergeCell ref="D3:D4"/>
    <mergeCell ref="E3:E4"/>
    <mergeCell ref="F3:G3"/>
    <mergeCell ref="H3:I3"/>
    <mergeCell ref="J3:J4"/>
    <mergeCell ref="K3:L3"/>
  </mergeCells>
  <pageMargins left="0.11811023622047245" right="0.11811023622047245" top="0.74803149606299213" bottom="0.74803149606299213" header="0.31496062992125984" footer="0.31496062992125984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S9"/>
  <sheetViews>
    <sheetView view="pageBreakPreview" zoomScale="115" zoomScaleNormal="100" zoomScaleSheetLayoutView="115" workbookViewId="0">
      <selection activeCell="E17" sqref="E17"/>
    </sheetView>
  </sheetViews>
  <sheetFormatPr defaultRowHeight="18.75" x14ac:dyDescent="0.3"/>
  <cols>
    <col min="1" max="1" width="20.28515625" style="467" customWidth="1"/>
    <col min="2" max="3" width="15.85546875" style="467" customWidth="1"/>
    <col min="4" max="4" width="11.140625" style="467" hidden="1" customWidth="1"/>
    <col min="5" max="5" width="15.42578125" style="467" customWidth="1"/>
    <col min="6" max="6" width="21" style="467" customWidth="1"/>
    <col min="7" max="7" width="25.28515625" style="467" customWidth="1"/>
    <col min="8" max="9" width="18.42578125" style="467" customWidth="1"/>
    <col min="10" max="10" width="18.5703125" style="467" customWidth="1"/>
    <col min="11" max="11" width="17.7109375" style="467" customWidth="1"/>
    <col min="12" max="12" width="11.140625" style="624" customWidth="1"/>
    <col min="13" max="13" width="10.28515625" style="467" customWidth="1"/>
    <col min="14" max="14" width="9.140625" style="467"/>
    <col min="15" max="15" width="9.140625" style="274"/>
    <col min="16" max="16" width="9.5703125" style="274" bestFit="1" customWidth="1"/>
    <col min="17" max="19" width="9.140625" style="274"/>
    <col min="20" max="21" width="9.140625" style="246"/>
    <col min="22" max="22" width="10.5703125" style="246" customWidth="1"/>
    <col min="23" max="16384" width="9.140625" style="246"/>
  </cols>
  <sheetData>
    <row r="1" spans="1:19" ht="26.25" customHeight="1" x14ac:dyDescent="0.3">
      <c r="A1" s="782" t="s">
        <v>391</v>
      </c>
      <c r="B1" s="782"/>
      <c r="C1" s="782"/>
      <c r="D1" s="782"/>
      <c r="E1" s="782"/>
      <c r="F1" s="782"/>
      <c r="G1" s="782"/>
      <c r="H1" s="782"/>
      <c r="I1" s="782"/>
      <c r="J1" s="782"/>
      <c r="K1" s="480"/>
      <c r="L1" s="620"/>
      <c r="M1" s="466"/>
    </row>
    <row r="2" spans="1:19" ht="13.5" customHeight="1" x14ac:dyDescent="0.3">
      <c r="C2" s="477"/>
      <c r="D2" s="477"/>
      <c r="E2" s="477"/>
      <c r="F2" s="477"/>
      <c r="G2" s="477"/>
      <c r="H2" s="477"/>
      <c r="I2" s="477"/>
      <c r="J2" s="626" t="s">
        <v>70</v>
      </c>
      <c r="K2" s="621"/>
      <c r="L2" s="621"/>
    </row>
    <row r="3" spans="1:19" s="465" customFormat="1" ht="93.75" x14ac:dyDescent="0.25">
      <c r="A3" s="474" t="s">
        <v>392</v>
      </c>
      <c r="B3" s="474" t="s">
        <v>393</v>
      </c>
      <c r="C3" s="474" t="s">
        <v>394</v>
      </c>
      <c r="D3" s="474"/>
      <c r="E3" s="475" t="s">
        <v>395</v>
      </c>
      <c r="F3" s="475" t="s">
        <v>396</v>
      </c>
      <c r="G3" s="475" t="s">
        <v>397</v>
      </c>
      <c r="H3" s="475" t="s">
        <v>498</v>
      </c>
      <c r="I3" s="475" t="s">
        <v>400</v>
      </c>
      <c r="J3" s="475" t="s">
        <v>398</v>
      </c>
      <c r="K3" s="622"/>
      <c r="L3" s="622"/>
      <c r="M3" s="468"/>
      <c r="N3" s="468"/>
      <c r="O3" s="464"/>
      <c r="P3" s="464"/>
      <c r="Q3" s="464"/>
      <c r="R3" s="464"/>
      <c r="S3" s="464"/>
    </row>
    <row r="4" spans="1:19" s="472" customFormat="1" x14ac:dyDescent="0.25">
      <c r="A4" s="476">
        <f>B4+C4</f>
        <v>96209</v>
      </c>
      <c r="B4" s="476">
        <v>25535</v>
      </c>
      <c r="C4" s="476">
        <v>70674</v>
      </c>
      <c r="D4" s="476"/>
      <c r="E4" s="476">
        <f>C4*90%</f>
        <v>63606.6</v>
      </c>
      <c r="F4" s="476">
        <v>245004.3</v>
      </c>
      <c r="G4" s="476">
        <f>F4/2</f>
        <v>122502.15</v>
      </c>
      <c r="H4" s="476">
        <v>68168</v>
      </c>
      <c r="I4" s="476">
        <f>H4+E4</f>
        <v>131774.6</v>
      </c>
      <c r="J4" s="476">
        <f>F4-E4-H4</f>
        <v>113229.69999999998</v>
      </c>
      <c r="K4" s="470"/>
      <c r="L4" s="623"/>
      <c r="M4" s="470"/>
      <c r="N4" s="470"/>
      <c r="O4" s="471"/>
      <c r="P4" s="471"/>
      <c r="Q4" s="471"/>
      <c r="R4" s="471"/>
      <c r="S4" s="471"/>
    </row>
    <row r="5" spans="1:19" x14ac:dyDescent="0.3">
      <c r="B5" s="469"/>
    </row>
    <row r="6" spans="1:19" x14ac:dyDescent="0.3">
      <c r="A6" s="782" t="s">
        <v>391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</row>
    <row r="7" spans="1:19" x14ac:dyDescent="0.3">
      <c r="C7" s="477"/>
      <c r="D7" s="477"/>
      <c r="E7" s="477"/>
      <c r="F7" s="477"/>
      <c r="G7" s="477"/>
      <c r="H7" s="477"/>
      <c r="I7" s="477"/>
      <c r="K7" s="625" t="s">
        <v>70</v>
      </c>
      <c r="L7" s="621"/>
    </row>
    <row r="8" spans="1:19" ht="93.75" x14ac:dyDescent="0.3">
      <c r="A8" s="474" t="s">
        <v>392</v>
      </c>
      <c r="B8" s="474" t="s">
        <v>393</v>
      </c>
      <c r="C8" s="474" t="s">
        <v>394</v>
      </c>
      <c r="D8" s="474"/>
      <c r="E8" s="475" t="s">
        <v>395</v>
      </c>
      <c r="F8" s="475" t="s">
        <v>396</v>
      </c>
      <c r="G8" s="475" t="s">
        <v>397</v>
      </c>
      <c r="H8" s="475" t="s">
        <v>399</v>
      </c>
      <c r="I8" s="475" t="s">
        <v>497</v>
      </c>
      <c r="J8" s="475" t="s">
        <v>400</v>
      </c>
      <c r="K8" s="475" t="s">
        <v>398</v>
      </c>
      <c r="L8" s="622"/>
    </row>
    <row r="9" spans="1:19" x14ac:dyDescent="0.3">
      <c r="A9" s="476">
        <f>B9+C9</f>
        <v>96209</v>
      </c>
      <c r="B9" s="476">
        <v>25535</v>
      </c>
      <c r="C9" s="476">
        <v>70674</v>
      </c>
      <c r="D9" s="476"/>
      <c r="E9" s="476">
        <f>C9*90%</f>
        <v>63606.6</v>
      </c>
      <c r="F9" s="476">
        <v>245004.3</v>
      </c>
      <c r="G9" s="476">
        <f>F9/2</f>
        <v>122502.15</v>
      </c>
      <c r="H9" s="476">
        <v>61800</v>
      </c>
      <c r="I9" s="476">
        <f>68168-H9</f>
        <v>6368</v>
      </c>
      <c r="J9" s="476">
        <f>H9+E9+I9</f>
        <v>131774.6</v>
      </c>
      <c r="K9" s="476">
        <f>F9-E9-H9-I9</f>
        <v>113229.69999999998</v>
      </c>
      <c r="L9" s="623"/>
    </row>
  </sheetData>
  <mergeCells count="2">
    <mergeCell ref="A1:J1"/>
    <mergeCell ref="A6:L6"/>
  </mergeCells>
  <pageMargins left="0.11811023622047245" right="0.11811023622047245" top="0.74803149606299213" bottom="0.74803149606299213" header="0.31496062992125984" footer="0.31496062992125984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U11"/>
  <sheetViews>
    <sheetView view="pageBreakPreview" zoomScale="115" zoomScaleNormal="100" zoomScaleSheetLayoutView="115" workbookViewId="0">
      <selection activeCell="A7" sqref="A7:XFD7"/>
    </sheetView>
  </sheetViews>
  <sheetFormatPr defaultRowHeight="18.75" x14ac:dyDescent="0.3"/>
  <cols>
    <col min="1" max="1" width="6.85546875" style="467" customWidth="1"/>
    <col min="2" max="2" width="56.5703125" style="467" customWidth="1"/>
    <col min="3" max="4" width="15.85546875" style="467" customWidth="1"/>
    <col min="5" max="5" width="11.140625" style="467" hidden="1" customWidth="1"/>
    <col min="6" max="6" width="17.42578125" style="467" customWidth="1"/>
    <col min="7" max="7" width="15.42578125" style="467" customWidth="1"/>
    <col min="8" max="8" width="21" style="467" customWidth="1"/>
    <col min="9" max="9" width="23.140625" style="467" customWidth="1"/>
    <col min="10" max="11" width="18.42578125" style="467" customWidth="1"/>
    <col min="12" max="12" width="17.42578125" style="467" customWidth="1"/>
    <col min="13" max="14" width="11.140625" style="467" customWidth="1"/>
    <col min="15" max="15" width="10.28515625" style="467" customWidth="1"/>
    <col min="16" max="16" width="9.140625" style="467"/>
    <col min="17" max="17" width="9.140625" style="274"/>
    <col min="18" max="18" width="9.5703125" style="274" bestFit="1" customWidth="1"/>
    <col min="19" max="21" width="9.140625" style="274"/>
    <col min="22" max="23" width="9.140625" style="246"/>
    <col min="24" max="24" width="10.5703125" style="246" customWidth="1"/>
    <col min="25" max="16384" width="9.140625" style="246"/>
  </cols>
  <sheetData>
    <row r="1" spans="1:21" ht="26.25" customHeight="1" x14ac:dyDescent="0.3">
      <c r="B1" s="782" t="s">
        <v>401</v>
      </c>
      <c r="C1" s="782"/>
      <c r="D1" s="782"/>
      <c r="E1" s="782"/>
      <c r="F1" s="782"/>
      <c r="G1" s="782"/>
      <c r="H1" s="782"/>
      <c r="I1" s="782"/>
      <c r="J1" s="782"/>
      <c r="K1" s="480"/>
      <c r="L1" s="480"/>
      <c r="M1" s="480"/>
      <c r="N1" s="480"/>
      <c r="O1" s="466"/>
    </row>
    <row r="2" spans="1:21" ht="13.5" customHeight="1" x14ac:dyDescent="0.3">
      <c r="D2" s="477"/>
      <c r="E2" s="477"/>
      <c r="F2" s="477"/>
      <c r="G2" s="477"/>
      <c r="I2" s="477"/>
      <c r="J2" s="477" t="s">
        <v>70</v>
      </c>
      <c r="K2" s="477"/>
      <c r="M2" s="477"/>
      <c r="N2" s="477"/>
    </row>
    <row r="3" spans="1:21" s="479" customFormat="1" ht="39.75" customHeight="1" x14ac:dyDescent="0.25">
      <c r="A3" s="473"/>
      <c r="B3" s="475" t="s">
        <v>402</v>
      </c>
      <c r="C3" s="475" t="s">
        <v>403</v>
      </c>
      <c r="D3" s="475" t="s">
        <v>168</v>
      </c>
      <c r="E3" s="475"/>
      <c r="F3" s="475" t="s">
        <v>405</v>
      </c>
      <c r="G3" s="475" t="s">
        <v>69</v>
      </c>
      <c r="H3" s="475" t="s">
        <v>277</v>
      </c>
      <c r="I3" s="475" t="s">
        <v>83</v>
      </c>
      <c r="J3" s="475" t="s">
        <v>406</v>
      </c>
      <c r="K3" s="475"/>
      <c r="L3" s="475"/>
      <c r="M3" s="473"/>
      <c r="N3" s="473"/>
      <c r="O3" s="473"/>
      <c r="P3" s="473"/>
      <c r="Q3" s="478"/>
      <c r="R3" s="478"/>
      <c r="S3" s="478"/>
      <c r="T3" s="478"/>
      <c r="U3" s="478"/>
    </row>
    <row r="4" spans="1:21" s="472" customFormat="1" ht="37.5" x14ac:dyDescent="0.25">
      <c r="A4" s="470"/>
      <c r="B4" s="629" t="s">
        <v>404</v>
      </c>
      <c r="C4" s="476" t="s">
        <v>95</v>
      </c>
      <c r="D4" s="476">
        <v>17648</v>
      </c>
      <c r="E4" s="476"/>
      <c r="F4" s="476">
        <v>17648</v>
      </c>
      <c r="G4" s="627">
        <v>17703</v>
      </c>
      <c r="H4" s="476">
        <f>G4-D4</f>
        <v>55</v>
      </c>
      <c r="I4" s="476">
        <v>53</v>
      </c>
      <c r="J4" s="476">
        <v>2</v>
      </c>
      <c r="K4" s="476"/>
      <c r="L4" s="476"/>
      <c r="M4" s="470"/>
      <c r="N4" s="470"/>
      <c r="O4" s="470"/>
      <c r="P4" s="470"/>
      <c r="Q4" s="471"/>
      <c r="R4" s="471"/>
      <c r="S4" s="471"/>
      <c r="T4" s="471"/>
      <c r="U4" s="471"/>
    </row>
    <row r="5" spans="1:21" ht="37.5" x14ac:dyDescent="0.3">
      <c r="B5" s="482" t="s">
        <v>407</v>
      </c>
      <c r="C5" s="476" t="s">
        <v>107</v>
      </c>
      <c r="D5" s="476">
        <v>20636</v>
      </c>
      <c r="E5" s="476"/>
      <c r="F5" s="476">
        <v>23254</v>
      </c>
      <c r="G5" s="476">
        <v>23254</v>
      </c>
      <c r="H5" s="476">
        <f>G5-D5</f>
        <v>2618</v>
      </c>
      <c r="I5" s="476" t="s">
        <v>155</v>
      </c>
      <c r="J5" s="476" t="s">
        <v>155</v>
      </c>
    </row>
    <row r="6" spans="1:21" ht="56.25" x14ac:dyDescent="0.3">
      <c r="B6" s="482" t="s">
        <v>409</v>
      </c>
      <c r="C6" s="476" t="s">
        <v>408</v>
      </c>
      <c r="D6" s="476">
        <v>34769.9</v>
      </c>
      <c r="E6" s="476"/>
      <c r="F6" s="476">
        <v>57487</v>
      </c>
      <c r="G6" s="476">
        <v>36752</v>
      </c>
      <c r="H6" s="476">
        <f>G6-D6</f>
        <v>1982.0999999999985</v>
      </c>
      <c r="I6" s="476" t="s">
        <v>155</v>
      </c>
      <c r="J6" s="476" t="s">
        <v>155</v>
      </c>
    </row>
    <row r="7" spans="1:21" ht="75" x14ac:dyDescent="0.3">
      <c r="B7" s="482" t="s">
        <v>411</v>
      </c>
      <c r="C7" s="481" t="s">
        <v>410</v>
      </c>
      <c r="D7" s="476">
        <v>516</v>
      </c>
      <c r="E7" s="476"/>
      <c r="F7" s="476">
        <v>516</v>
      </c>
      <c r="G7" s="476">
        <v>516</v>
      </c>
      <c r="H7" s="476">
        <f>G7-D7</f>
        <v>0</v>
      </c>
      <c r="I7" s="476" t="s">
        <v>155</v>
      </c>
      <c r="J7" s="476" t="s">
        <v>155</v>
      </c>
    </row>
    <row r="8" spans="1:21" s="491" customFormat="1" x14ac:dyDescent="0.3">
      <c r="A8" s="487"/>
      <c r="B8" s="485" t="s">
        <v>90</v>
      </c>
      <c r="C8" s="488" t="s">
        <v>155</v>
      </c>
      <c r="D8" s="489">
        <f>SUM(D4:D7)</f>
        <v>73569.899999999994</v>
      </c>
      <c r="E8" s="489">
        <f t="shared" ref="E8:H8" si="0">SUM(E4:E7)</f>
        <v>0</v>
      </c>
      <c r="F8" s="489">
        <f t="shared" si="0"/>
        <v>98905</v>
      </c>
      <c r="G8" s="489">
        <f t="shared" si="0"/>
        <v>78225</v>
      </c>
      <c r="H8" s="489">
        <f t="shared" si="0"/>
        <v>4655.0999999999985</v>
      </c>
      <c r="I8" s="489">
        <f>I4</f>
        <v>53</v>
      </c>
      <c r="J8" s="489">
        <f>J4</f>
        <v>2</v>
      </c>
      <c r="K8" s="487"/>
      <c r="L8" s="487"/>
      <c r="M8" s="487"/>
      <c r="N8" s="487"/>
      <c r="O8" s="487"/>
      <c r="P8" s="487"/>
      <c r="Q8" s="490"/>
      <c r="R8" s="490"/>
      <c r="S8" s="490"/>
      <c r="T8" s="490"/>
      <c r="U8" s="490"/>
    </row>
    <row r="9" spans="1:21" x14ac:dyDescent="0.3">
      <c r="B9" s="630" t="s">
        <v>412</v>
      </c>
      <c r="C9" s="492" t="s">
        <v>155</v>
      </c>
      <c r="D9" s="493">
        <v>43303</v>
      </c>
      <c r="E9" s="493"/>
      <c r="F9" s="493">
        <v>43303</v>
      </c>
      <c r="G9" s="628">
        <v>43303</v>
      </c>
      <c r="H9" s="476">
        <f>G9-D9</f>
        <v>0</v>
      </c>
      <c r="I9" s="476" t="s">
        <v>155</v>
      </c>
      <c r="J9" s="476" t="s">
        <v>155</v>
      </c>
    </row>
    <row r="10" spans="1:21" s="291" customFormat="1" x14ac:dyDescent="0.3">
      <c r="A10" s="484"/>
      <c r="B10" s="485" t="s">
        <v>90</v>
      </c>
      <c r="C10" s="488" t="s">
        <v>155</v>
      </c>
      <c r="D10" s="494">
        <f>D8+D9</f>
        <v>116872.9</v>
      </c>
      <c r="E10" s="494">
        <f t="shared" ref="E10:H10" si="1">E8+E9</f>
        <v>0</v>
      </c>
      <c r="F10" s="494">
        <f t="shared" si="1"/>
        <v>142208</v>
      </c>
      <c r="G10" s="494">
        <f t="shared" si="1"/>
        <v>121528</v>
      </c>
      <c r="H10" s="494">
        <f t="shared" si="1"/>
        <v>4655.0999999999985</v>
      </c>
      <c r="I10" s="494">
        <f>I8</f>
        <v>53</v>
      </c>
      <c r="J10" s="494">
        <f>J8</f>
        <v>2</v>
      </c>
      <c r="K10" s="484"/>
      <c r="L10" s="484"/>
      <c r="M10" s="484"/>
      <c r="N10" s="484"/>
      <c r="O10" s="484"/>
      <c r="P10" s="484"/>
      <c r="Q10" s="486"/>
      <c r="R10" s="486"/>
      <c r="S10" s="486"/>
      <c r="T10" s="486"/>
      <c r="U10" s="486"/>
    </row>
    <row r="11" spans="1:21" x14ac:dyDescent="0.3">
      <c r="B11" s="483"/>
    </row>
  </sheetData>
  <mergeCells count="1">
    <mergeCell ref="B1:J1"/>
  </mergeCell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pageSetUpPr fitToPage="1"/>
  </sheetPr>
  <dimension ref="A1:AD13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5" x14ac:dyDescent="0.25"/>
  <cols>
    <col min="1" max="1" width="28.42578125" style="125" customWidth="1"/>
    <col min="2" max="2" width="25.7109375" style="125" customWidth="1"/>
    <col min="3" max="3" width="17.42578125" style="125" customWidth="1"/>
    <col min="4" max="4" width="19" style="125" customWidth="1"/>
    <col min="5" max="5" width="14.5703125" style="125" customWidth="1"/>
    <col min="6" max="6" width="14.5703125" style="515" customWidth="1"/>
    <col min="7" max="7" width="10.5703125" style="125" customWidth="1"/>
    <col min="8" max="8" width="10.85546875" style="125" customWidth="1"/>
    <col min="9" max="9" width="12.7109375" style="125" customWidth="1"/>
    <col min="10" max="10" width="13" style="125" customWidth="1"/>
    <col min="11" max="11" width="15.140625" style="125" customWidth="1"/>
    <col min="12" max="12" width="9.140625" style="125"/>
    <col min="13" max="13" width="11.42578125" style="125" customWidth="1"/>
    <col min="14" max="15" width="9.140625" style="125"/>
    <col min="16" max="16" width="11.85546875" style="125" customWidth="1"/>
    <col min="17" max="17" width="11.42578125" style="125" customWidth="1"/>
    <col min="18" max="20" width="9.140625" style="125"/>
    <col min="21" max="21" width="11.7109375" style="125" customWidth="1"/>
    <col min="22" max="22" width="10.5703125" style="125" customWidth="1"/>
    <col min="23" max="23" width="9.140625" style="125"/>
    <col min="24" max="24" width="13.5703125" style="125" customWidth="1"/>
    <col min="25" max="25" width="10.42578125" style="125" customWidth="1"/>
    <col min="26" max="26" width="11.5703125" style="125" customWidth="1"/>
    <col min="27" max="27" width="12.28515625" style="125" customWidth="1"/>
    <col min="28" max="28" width="9.140625" style="125"/>
    <col min="29" max="29" width="12.85546875" style="125" customWidth="1"/>
    <col min="30" max="30" width="9.140625" style="125"/>
  </cols>
  <sheetData>
    <row r="1" spans="1:30" ht="15.75" thickBot="1" x14ac:dyDescent="0.3">
      <c r="A1" s="783" t="s">
        <v>423</v>
      </c>
      <c r="B1" s="783"/>
      <c r="C1" s="783"/>
      <c r="D1" s="783"/>
      <c r="E1" s="783"/>
      <c r="F1" s="524"/>
    </row>
    <row r="2" spans="1:30" x14ac:dyDescent="0.25">
      <c r="E2" s="127" t="s">
        <v>70</v>
      </c>
      <c r="F2" s="533"/>
      <c r="G2" s="784" t="s">
        <v>422</v>
      </c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784"/>
      <c r="T2" s="784"/>
      <c r="U2" s="784"/>
      <c r="V2" s="784"/>
      <c r="W2" s="784"/>
      <c r="X2" s="784"/>
      <c r="Y2" s="784"/>
      <c r="Z2" s="784"/>
      <c r="AA2" s="784"/>
      <c r="AB2" s="785"/>
    </row>
    <row r="3" spans="1:30" s="385" customFormat="1" ht="45" x14ac:dyDescent="0.25">
      <c r="A3" s="119" t="s">
        <v>416</v>
      </c>
      <c r="B3" s="119" t="s">
        <v>168</v>
      </c>
      <c r="C3" s="119" t="s">
        <v>417</v>
      </c>
      <c r="D3" s="119" t="s">
        <v>422</v>
      </c>
      <c r="E3" s="525" t="s">
        <v>277</v>
      </c>
      <c r="F3" s="534" t="s">
        <v>90</v>
      </c>
      <c r="G3" s="507" t="s">
        <v>427</v>
      </c>
      <c r="H3" s="507" t="s">
        <v>428</v>
      </c>
      <c r="I3" s="507" t="s">
        <v>429</v>
      </c>
      <c r="J3" s="507" t="s">
        <v>430</v>
      </c>
      <c r="K3" s="504" t="s">
        <v>136</v>
      </c>
      <c r="L3" s="504" t="s">
        <v>431</v>
      </c>
      <c r="M3" s="507" t="s">
        <v>433</v>
      </c>
      <c r="N3" s="504" t="s">
        <v>434</v>
      </c>
      <c r="O3" s="504" t="s">
        <v>435</v>
      </c>
      <c r="P3" s="504" t="s">
        <v>436</v>
      </c>
      <c r="Q3" s="504" t="s">
        <v>437</v>
      </c>
      <c r="R3" s="504" t="s">
        <v>438</v>
      </c>
      <c r="S3" s="504" t="s">
        <v>439</v>
      </c>
      <c r="T3" s="504" t="s">
        <v>440</v>
      </c>
      <c r="U3" s="504" t="s">
        <v>441</v>
      </c>
      <c r="V3" s="504" t="s">
        <v>442</v>
      </c>
      <c r="W3" s="507" t="s">
        <v>443</v>
      </c>
      <c r="X3" s="507" t="s">
        <v>444</v>
      </c>
      <c r="Y3" s="504" t="s">
        <v>445</v>
      </c>
      <c r="Z3" s="504" t="s">
        <v>446</v>
      </c>
      <c r="AA3" s="504" t="s">
        <v>447</v>
      </c>
      <c r="AB3" s="535" t="s">
        <v>448</v>
      </c>
      <c r="AC3" s="529" t="s">
        <v>449</v>
      </c>
      <c r="AD3" s="126"/>
    </row>
    <row r="4" spans="1:30" s="397" customFormat="1" ht="29.25" x14ac:dyDescent="0.25">
      <c r="A4" s="508" t="s">
        <v>418</v>
      </c>
      <c r="B4" s="509">
        <f>B6+B7+B5</f>
        <v>29810.2</v>
      </c>
      <c r="C4" s="509">
        <f>C6+C7+C5</f>
        <v>133356.5393</v>
      </c>
      <c r="D4" s="509">
        <f>D6+D7+D5</f>
        <v>33478.9</v>
      </c>
      <c r="E4" s="526">
        <f>D4-B4</f>
        <v>3668.7000000000007</v>
      </c>
      <c r="F4" s="536">
        <f>F6+F7+F5</f>
        <v>32031.9</v>
      </c>
      <c r="G4" s="509">
        <f>G6+G7+G5</f>
        <v>19</v>
      </c>
      <c r="H4" s="509">
        <f t="shared" ref="H4:R4" si="0">H6+H7+H5</f>
        <v>890.9</v>
      </c>
      <c r="I4" s="509">
        <f t="shared" si="0"/>
        <v>110</v>
      </c>
      <c r="J4" s="509">
        <f t="shared" si="0"/>
        <v>1124</v>
      </c>
      <c r="K4" s="509">
        <f t="shared" si="0"/>
        <v>544</v>
      </c>
      <c r="L4" s="509">
        <f t="shared" si="0"/>
        <v>52</v>
      </c>
      <c r="M4" s="509">
        <f t="shared" si="0"/>
        <v>2690</v>
      </c>
      <c r="N4" s="509">
        <f t="shared" si="0"/>
        <v>250</v>
      </c>
      <c r="O4" s="509">
        <f t="shared" si="0"/>
        <v>407</v>
      </c>
      <c r="P4" s="509">
        <f t="shared" si="0"/>
        <v>174</v>
      </c>
      <c r="Q4" s="509">
        <f t="shared" si="0"/>
        <v>1688</v>
      </c>
      <c r="R4" s="509">
        <f t="shared" si="0"/>
        <v>26</v>
      </c>
      <c r="S4" s="509">
        <f t="shared" ref="S4" si="1">S6+S7+S5</f>
        <v>0</v>
      </c>
      <c r="T4" s="509">
        <f t="shared" ref="T4" si="2">T6+T7+T5</f>
        <v>0</v>
      </c>
      <c r="U4" s="509">
        <f>U6+U7+U5</f>
        <v>9433</v>
      </c>
      <c r="V4" s="509">
        <f t="shared" ref="V4" si="3">V6+V7+V5</f>
        <v>1841</v>
      </c>
      <c r="W4" s="509">
        <f t="shared" ref="W4" si="4">W6+W7+W5</f>
        <v>343</v>
      </c>
      <c r="X4" s="509">
        <f t="shared" ref="X4" si="5">X6+X7+X5</f>
        <v>8660</v>
      </c>
      <c r="Y4" s="509">
        <f t="shared" ref="Y4" si="6">Y6+Y7+Y5</f>
        <v>1394</v>
      </c>
      <c r="Z4" s="509">
        <f t="shared" ref="Z4" si="7">Z6+Z7+Z5</f>
        <v>1630</v>
      </c>
      <c r="AA4" s="509">
        <f t="shared" ref="AA4" si="8">AA6+AA7+AA5</f>
        <v>672</v>
      </c>
      <c r="AB4" s="537">
        <f>AB6+AB7+AB5</f>
        <v>84</v>
      </c>
      <c r="AC4" s="530"/>
      <c r="AD4" s="422"/>
    </row>
    <row r="5" spans="1:30" s="518" customFormat="1" ht="30" x14ac:dyDescent="0.25">
      <c r="A5" s="510" t="s">
        <v>419</v>
      </c>
      <c r="B5" s="511">
        <v>22944</v>
      </c>
      <c r="C5" s="511">
        <v>102559</v>
      </c>
      <c r="D5" s="511">
        <v>23598</v>
      </c>
      <c r="E5" s="527">
        <f>D5-B5</f>
        <v>654</v>
      </c>
      <c r="F5" s="538">
        <f>SUM(G5:AB5)</f>
        <v>22317</v>
      </c>
      <c r="G5" s="504"/>
      <c r="H5" s="504">
        <v>550</v>
      </c>
      <c r="I5" s="504"/>
      <c r="J5" s="504"/>
      <c r="K5" s="504"/>
      <c r="L5" s="516">
        <v>6</v>
      </c>
      <c r="M5" s="504">
        <v>2490</v>
      </c>
      <c r="N5" s="504"/>
      <c r="O5" s="504">
        <v>320</v>
      </c>
      <c r="P5" s="516">
        <v>68</v>
      </c>
      <c r="Q5" s="517">
        <v>1500</v>
      </c>
      <c r="R5" s="504"/>
      <c r="S5" s="504"/>
      <c r="T5" s="504"/>
      <c r="U5" s="504">
        <v>8470</v>
      </c>
      <c r="V5" s="504">
        <v>1738</v>
      </c>
      <c r="W5" s="504">
        <v>205</v>
      </c>
      <c r="X5" s="504">
        <v>3800</v>
      </c>
      <c r="Y5" s="504">
        <v>1150</v>
      </c>
      <c r="Z5" s="504">
        <v>1500</v>
      </c>
      <c r="AA5" s="504">
        <v>520</v>
      </c>
      <c r="AB5" s="535"/>
      <c r="AC5" s="531"/>
      <c r="AD5" s="506"/>
    </row>
    <row r="6" spans="1:30" s="518" customFormat="1" ht="30" x14ac:dyDescent="0.25">
      <c r="A6" s="510" t="s">
        <v>420</v>
      </c>
      <c r="B6" s="511">
        <v>962.2</v>
      </c>
      <c r="C6" s="511">
        <v>2631.85</v>
      </c>
      <c r="D6" s="511">
        <v>1210.5999999999999</v>
      </c>
      <c r="E6" s="527">
        <f t="shared" ref="E6:E12" si="9">D6-B6</f>
        <v>248.39999999999986</v>
      </c>
      <c r="F6" s="538">
        <f t="shared" ref="F6:F12" si="10">SUM(G6:AB6)</f>
        <v>810.6</v>
      </c>
      <c r="G6" s="504"/>
      <c r="H6" s="519">
        <v>105.6</v>
      </c>
      <c r="I6" s="504"/>
      <c r="J6" s="504"/>
      <c r="K6" s="504"/>
      <c r="L6" s="504"/>
      <c r="M6" s="504"/>
      <c r="N6" s="504">
        <v>250</v>
      </c>
      <c r="O6" s="504">
        <v>17</v>
      </c>
      <c r="P6" s="516">
        <v>21</v>
      </c>
      <c r="Q6" s="504"/>
      <c r="R6" s="504"/>
      <c r="S6" s="504"/>
      <c r="T6" s="504"/>
      <c r="U6" s="504">
        <v>225</v>
      </c>
      <c r="V6" s="504">
        <v>70</v>
      </c>
      <c r="W6" s="504">
        <v>60</v>
      </c>
      <c r="X6" s="504"/>
      <c r="Y6" s="504">
        <v>12</v>
      </c>
      <c r="Z6" s="504">
        <v>50</v>
      </c>
      <c r="AA6" s="504"/>
      <c r="AB6" s="535"/>
      <c r="AC6" s="531"/>
      <c r="AD6" s="506"/>
    </row>
    <row r="7" spans="1:30" s="518" customFormat="1" ht="30" x14ac:dyDescent="0.25">
      <c r="A7" s="510" t="s">
        <v>421</v>
      </c>
      <c r="B7" s="511">
        <f t="shared" ref="B7:C7" si="11">SUM(B9:B12)</f>
        <v>5904</v>
      </c>
      <c r="C7" s="511">
        <f t="shared" si="11"/>
        <v>28165.689299999998</v>
      </c>
      <c r="D7" s="511">
        <f>SUM(D9:D12)</f>
        <v>8670.2999999999993</v>
      </c>
      <c r="E7" s="527">
        <f t="shared" si="9"/>
        <v>2766.2999999999993</v>
      </c>
      <c r="F7" s="538">
        <f t="shared" si="10"/>
        <v>8904.2999999999993</v>
      </c>
      <c r="G7" s="511">
        <f>SUM(G9:G12)</f>
        <v>19</v>
      </c>
      <c r="H7" s="511">
        <f t="shared" ref="H7:AB7" si="12">SUM(H9:H12)</f>
        <v>235.3</v>
      </c>
      <c r="I7" s="511">
        <f t="shared" si="12"/>
        <v>110</v>
      </c>
      <c r="J7" s="511">
        <f t="shared" si="12"/>
        <v>1124</v>
      </c>
      <c r="K7" s="511">
        <f t="shared" si="12"/>
        <v>544</v>
      </c>
      <c r="L7" s="511">
        <f t="shared" si="12"/>
        <v>46</v>
      </c>
      <c r="M7" s="511">
        <f t="shared" si="12"/>
        <v>200</v>
      </c>
      <c r="N7" s="511">
        <f t="shared" si="12"/>
        <v>0</v>
      </c>
      <c r="O7" s="511">
        <f t="shared" si="12"/>
        <v>70</v>
      </c>
      <c r="P7" s="511">
        <f t="shared" si="12"/>
        <v>85</v>
      </c>
      <c r="Q7" s="511">
        <f t="shared" si="12"/>
        <v>188</v>
      </c>
      <c r="R7" s="511">
        <f t="shared" si="12"/>
        <v>26</v>
      </c>
      <c r="S7" s="511">
        <f t="shared" si="12"/>
        <v>0</v>
      </c>
      <c r="T7" s="511">
        <f t="shared" si="12"/>
        <v>0</v>
      </c>
      <c r="U7" s="511">
        <f t="shared" si="12"/>
        <v>738</v>
      </c>
      <c r="V7" s="511">
        <f>SUM(V9:V12)</f>
        <v>33</v>
      </c>
      <c r="W7" s="511">
        <f t="shared" si="12"/>
        <v>78</v>
      </c>
      <c r="X7" s="511">
        <f t="shared" si="12"/>
        <v>4860</v>
      </c>
      <c r="Y7" s="511">
        <f t="shared" si="12"/>
        <v>232</v>
      </c>
      <c r="Z7" s="511">
        <f t="shared" si="12"/>
        <v>80</v>
      </c>
      <c r="AA7" s="511">
        <f t="shared" si="12"/>
        <v>152</v>
      </c>
      <c r="AB7" s="539">
        <f t="shared" si="12"/>
        <v>84</v>
      </c>
      <c r="AC7" s="531"/>
      <c r="AD7" s="506"/>
    </row>
    <row r="8" spans="1:30" s="520" customFormat="1" x14ac:dyDescent="0.25">
      <c r="A8" s="512" t="s">
        <v>81</v>
      </c>
      <c r="B8" s="514"/>
      <c r="C8" s="514"/>
      <c r="D8" s="514"/>
      <c r="E8" s="528">
        <f t="shared" si="9"/>
        <v>0</v>
      </c>
      <c r="F8" s="538">
        <f t="shared" si="10"/>
        <v>0</v>
      </c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540"/>
      <c r="AC8" s="532"/>
      <c r="AD8" s="125"/>
    </row>
    <row r="9" spans="1:30" s="520" customFormat="1" x14ac:dyDescent="0.25">
      <c r="A9" s="512" t="s">
        <v>424</v>
      </c>
      <c r="B9" s="514">
        <v>2342</v>
      </c>
      <c r="C9" s="514">
        <v>2900.1993000000002</v>
      </c>
      <c r="D9" s="514">
        <v>2439.3000000000002</v>
      </c>
      <c r="E9" s="528">
        <f t="shared" si="9"/>
        <v>97.300000000000182</v>
      </c>
      <c r="F9" s="538">
        <f t="shared" si="10"/>
        <v>2276.3000000000002</v>
      </c>
      <c r="G9" s="505">
        <v>19</v>
      </c>
      <c r="H9" s="521">
        <v>119.3</v>
      </c>
      <c r="I9" s="505"/>
      <c r="J9" s="522">
        <v>106</v>
      </c>
      <c r="K9" s="505"/>
      <c r="L9" s="523">
        <v>13</v>
      </c>
      <c r="M9" s="505"/>
      <c r="N9" s="505"/>
      <c r="O9" s="505">
        <v>50</v>
      </c>
      <c r="P9" s="523">
        <v>15</v>
      </c>
      <c r="Q9" s="505">
        <v>88</v>
      </c>
      <c r="R9" s="505"/>
      <c r="S9" s="505"/>
      <c r="T9" s="505"/>
      <c r="U9" s="505">
        <v>687</v>
      </c>
      <c r="V9" s="505">
        <v>33</v>
      </c>
      <c r="W9" s="505">
        <v>20</v>
      </c>
      <c r="X9" s="505">
        <v>778</v>
      </c>
      <c r="Y9" s="505">
        <v>112</v>
      </c>
      <c r="Z9" s="505">
        <v>80</v>
      </c>
      <c r="AA9" s="505">
        <v>72</v>
      </c>
      <c r="AB9" s="541">
        <v>84</v>
      </c>
      <c r="AC9" s="532"/>
      <c r="AD9" s="125"/>
    </row>
    <row r="10" spans="1:30" s="520" customFormat="1" ht="60" x14ac:dyDescent="0.25">
      <c r="A10" s="512" t="s">
        <v>425</v>
      </c>
      <c r="B10" s="514">
        <v>228</v>
      </c>
      <c r="C10" s="514">
        <v>3611.8</v>
      </c>
      <c r="D10" s="514">
        <v>2463</v>
      </c>
      <c r="E10" s="528">
        <f t="shared" si="9"/>
        <v>2235</v>
      </c>
      <c r="F10" s="538">
        <f t="shared" si="10"/>
        <v>2363</v>
      </c>
      <c r="G10" s="505"/>
      <c r="H10" s="505"/>
      <c r="I10" s="505"/>
      <c r="J10" s="522">
        <v>144</v>
      </c>
      <c r="K10" s="505"/>
      <c r="L10" s="523">
        <v>3</v>
      </c>
      <c r="M10" s="505"/>
      <c r="N10" s="505"/>
      <c r="O10" s="505"/>
      <c r="P10" s="523">
        <v>50</v>
      </c>
      <c r="Q10" s="505"/>
      <c r="R10" s="505"/>
      <c r="S10" s="505"/>
      <c r="T10" s="505"/>
      <c r="U10" s="505"/>
      <c r="V10" s="505"/>
      <c r="W10" s="505">
        <v>18</v>
      </c>
      <c r="X10" s="505">
        <v>2148</v>
      </c>
      <c r="Y10" s="505"/>
      <c r="Z10" s="505"/>
      <c r="AA10" s="505"/>
      <c r="AB10" s="540"/>
      <c r="AC10" s="532"/>
      <c r="AD10" s="125"/>
    </row>
    <row r="11" spans="1:30" s="520" customFormat="1" ht="30" x14ac:dyDescent="0.25">
      <c r="A11" s="512" t="s">
        <v>426</v>
      </c>
      <c r="B11" s="514">
        <v>2180</v>
      </c>
      <c r="C11" s="514">
        <v>4384.2</v>
      </c>
      <c r="D11" s="514">
        <v>3079</v>
      </c>
      <c r="E11" s="528">
        <f t="shared" si="9"/>
        <v>899</v>
      </c>
      <c r="F11" s="538">
        <f t="shared" si="10"/>
        <v>3062</v>
      </c>
      <c r="G11" s="505"/>
      <c r="H11" s="521">
        <v>116</v>
      </c>
      <c r="I11" s="523">
        <v>110</v>
      </c>
      <c r="J11" s="522">
        <v>360</v>
      </c>
      <c r="K11" s="505">
        <v>544</v>
      </c>
      <c r="L11" s="523">
        <v>20</v>
      </c>
      <c r="M11" s="505">
        <v>100</v>
      </c>
      <c r="N11" s="505"/>
      <c r="O11" s="505"/>
      <c r="P11" s="523">
        <v>20</v>
      </c>
      <c r="Q11" s="505"/>
      <c r="R11" s="505"/>
      <c r="S11" s="505"/>
      <c r="T11" s="505"/>
      <c r="U11" s="505">
        <v>30</v>
      </c>
      <c r="V11" s="505"/>
      <c r="W11" s="505">
        <v>40</v>
      </c>
      <c r="X11" s="505">
        <v>1562</v>
      </c>
      <c r="Y11" s="505">
        <v>80</v>
      </c>
      <c r="Z11" s="505"/>
      <c r="AA11" s="505">
        <v>80</v>
      </c>
      <c r="AB11" s="540"/>
      <c r="AC11" s="532">
        <v>4</v>
      </c>
      <c r="AD11" s="125"/>
    </row>
    <row r="12" spans="1:30" s="520" customFormat="1" ht="15.75" thickBot="1" x14ac:dyDescent="0.3">
      <c r="A12" s="513" t="s">
        <v>432</v>
      </c>
      <c r="B12" s="514">
        <v>1154</v>
      </c>
      <c r="C12" s="514">
        <v>17269.489999999998</v>
      </c>
      <c r="D12" s="514">
        <v>689</v>
      </c>
      <c r="E12" s="528">
        <f t="shared" si="9"/>
        <v>-465</v>
      </c>
      <c r="F12" s="542">
        <f t="shared" si="10"/>
        <v>1203</v>
      </c>
      <c r="G12" s="543"/>
      <c r="H12" s="543"/>
      <c r="I12" s="543"/>
      <c r="J12" s="544">
        <v>514</v>
      </c>
      <c r="K12" s="543"/>
      <c r="L12" s="545">
        <v>10</v>
      </c>
      <c r="M12" s="543">
        <v>100</v>
      </c>
      <c r="N12" s="543"/>
      <c r="O12" s="543">
        <v>20</v>
      </c>
      <c r="P12" s="543"/>
      <c r="Q12" s="543">
        <v>100</v>
      </c>
      <c r="R12" s="543">
        <v>26</v>
      </c>
      <c r="S12" s="543"/>
      <c r="T12" s="543"/>
      <c r="U12" s="543">
        <v>21</v>
      </c>
      <c r="V12" s="543"/>
      <c r="W12" s="543"/>
      <c r="X12" s="543">
        <v>372</v>
      </c>
      <c r="Y12" s="543">
        <v>40</v>
      </c>
      <c r="Z12" s="543"/>
      <c r="AA12" s="543"/>
      <c r="AB12" s="546"/>
      <c r="AC12" s="532">
        <v>60</v>
      </c>
      <c r="AD12" s="125"/>
    </row>
    <row r="13" spans="1:30" s="549" customFormat="1" x14ac:dyDescent="0.25">
      <c r="A13" s="547"/>
      <c r="B13" s="548"/>
      <c r="C13" s="548"/>
      <c r="D13" s="548"/>
      <c r="E13" s="548"/>
      <c r="F13" s="550"/>
      <c r="G13" s="548"/>
      <c r="H13" s="548"/>
      <c r="I13" s="548"/>
      <c r="J13" s="548"/>
      <c r="K13" s="548"/>
      <c r="L13" s="548"/>
      <c r="M13" s="548"/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</row>
  </sheetData>
  <mergeCells count="2">
    <mergeCell ref="A1:E1"/>
    <mergeCell ref="G2:AB2"/>
  </mergeCells>
  <pageMargins left="0.7" right="0.7" top="0.75" bottom="0.75" header="0.3" footer="0.3"/>
  <pageSetup paperSize="9" scale="36" orientation="landscape" r:id="rId1"/>
  <colBreaks count="1" manualBreakCount="1">
    <brk id="6" max="12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V24"/>
  <sheetViews>
    <sheetView view="pageBreakPreview" zoomScale="130" zoomScaleNormal="100" zoomScaleSheetLayoutView="130" workbookViewId="0">
      <selection activeCell="E15" sqref="E15"/>
    </sheetView>
  </sheetViews>
  <sheetFormatPr defaultRowHeight="15.75" x14ac:dyDescent="0.25"/>
  <cols>
    <col min="1" max="1" width="43" style="1" customWidth="1"/>
    <col min="2" max="4" width="14" style="1" customWidth="1"/>
    <col min="5" max="5" width="83.7109375" style="1" customWidth="1"/>
    <col min="6" max="8" width="14" style="1" customWidth="1"/>
    <col min="9" max="22" width="9.140625" style="1"/>
  </cols>
  <sheetData>
    <row r="1" spans="1:22" ht="15.75" customHeight="1" x14ac:dyDescent="0.25">
      <c r="A1" s="786" t="s">
        <v>455</v>
      </c>
      <c r="B1" s="786"/>
      <c r="C1" s="786"/>
      <c r="D1" s="786"/>
      <c r="E1" s="786"/>
    </row>
    <row r="2" spans="1:22" x14ac:dyDescent="0.25">
      <c r="E2" s="503" t="s">
        <v>170</v>
      </c>
    </row>
    <row r="3" spans="1:22" s="387" customFormat="1" ht="31.5" x14ac:dyDescent="0.25">
      <c r="A3" s="332" t="s">
        <v>451</v>
      </c>
      <c r="B3" s="332" t="s">
        <v>452</v>
      </c>
      <c r="C3" s="332" t="s">
        <v>69</v>
      </c>
      <c r="D3" s="332" t="s">
        <v>277</v>
      </c>
      <c r="E3" s="332" t="s">
        <v>453</v>
      </c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</row>
    <row r="4" spans="1:22" s="561" customFormat="1" x14ac:dyDescent="0.25">
      <c r="A4" s="560" t="s">
        <v>90</v>
      </c>
      <c r="B4" s="500">
        <f>SUM(B5:B18)</f>
        <v>84327.799999999988</v>
      </c>
      <c r="C4" s="500">
        <f>SUM(C5:C18)</f>
        <v>275332.14999999997</v>
      </c>
      <c r="D4" s="563">
        <f>C4-B4</f>
        <v>191004.34999999998</v>
      </c>
      <c r="E4" s="392" t="s">
        <v>155</v>
      </c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</row>
    <row r="5" spans="1:22" ht="107.25" customHeight="1" x14ac:dyDescent="0.25">
      <c r="A5" s="559" t="s">
        <v>454</v>
      </c>
      <c r="B5" s="501">
        <v>0</v>
      </c>
      <c r="C5" s="501">
        <v>4754</v>
      </c>
      <c r="D5" s="501">
        <f>C5-B5</f>
        <v>4754</v>
      </c>
      <c r="E5" s="555" t="s">
        <v>473</v>
      </c>
      <c r="F5" s="1">
        <v>340</v>
      </c>
    </row>
    <row r="6" spans="1:22" ht="31.5" x14ac:dyDescent="0.25">
      <c r="A6" s="559" t="s">
        <v>456</v>
      </c>
      <c r="B6" s="501">
        <v>6037</v>
      </c>
      <c r="C6" s="501">
        <v>6660.75</v>
      </c>
      <c r="D6" s="501">
        <f t="shared" ref="D6:D20" si="0">C6-B6</f>
        <v>623.75</v>
      </c>
      <c r="E6" s="555" t="s">
        <v>459</v>
      </c>
      <c r="F6" s="1">
        <v>260</v>
      </c>
    </row>
    <row r="7" spans="1:22" ht="55.5" customHeight="1" x14ac:dyDescent="0.25">
      <c r="A7" s="558" t="s">
        <v>457</v>
      </c>
      <c r="B7" s="501">
        <v>29686.6</v>
      </c>
      <c r="C7" s="501">
        <v>42389</v>
      </c>
      <c r="D7" s="501">
        <f t="shared" si="0"/>
        <v>12702.400000000001</v>
      </c>
      <c r="E7" s="555" t="s">
        <v>458</v>
      </c>
    </row>
    <row r="8" spans="1:22" x14ac:dyDescent="0.25">
      <c r="A8" s="333" t="s">
        <v>460</v>
      </c>
      <c r="B8" s="501">
        <v>5535</v>
      </c>
      <c r="C8" s="501">
        <v>8893</v>
      </c>
      <c r="D8" s="501">
        <f t="shared" si="0"/>
        <v>3358</v>
      </c>
      <c r="E8" s="555"/>
    </row>
    <row r="9" spans="1:22" x14ac:dyDescent="0.25">
      <c r="A9" s="359" t="s">
        <v>461</v>
      </c>
      <c r="B9" s="501">
        <v>8804.1</v>
      </c>
      <c r="C9" s="501">
        <v>30000</v>
      </c>
      <c r="D9" s="501">
        <f t="shared" si="0"/>
        <v>21195.9</v>
      </c>
      <c r="E9" s="555"/>
    </row>
    <row r="10" spans="1:22" ht="63" x14ac:dyDescent="0.25">
      <c r="A10" s="558" t="s">
        <v>462</v>
      </c>
      <c r="B10" s="501"/>
      <c r="C10" s="501">
        <v>20000</v>
      </c>
      <c r="D10" s="501">
        <f t="shared" si="0"/>
        <v>20000</v>
      </c>
      <c r="E10" s="555"/>
    </row>
    <row r="11" spans="1:22" ht="141.75" x14ac:dyDescent="0.25">
      <c r="A11" s="559" t="s">
        <v>464</v>
      </c>
      <c r="B11" s="501"/>
      <c r="C11" s="501">
        <v>5000</v>
      </c>
      <c r="D11" s="501">
        <f t="shared" si="0"/>
        <v>5000</v>
      </c>
      <c r="E11" s="555" t="s">
        <v>463</v>
      </c>
    </row>
    <row r="12" spans="1:22" ht="63" x14ac:dyDescent="0.25">
      <c r="A12" s="558" t="s">
        <v>466</v>
      </c>
      <c r="B12" s="501"/>
      <c r="C12" s="501">
        <v>300</v>
      </c>
      <c r="D12" s="501">
        <f t="shared" si="0"/>
        <v>300</v>
      </c>
      <c r="E12" s="555" t="s">
        <v>465</v>
      </c>
    </row>
    <row r="13" spans="1:22" ht="204.75" x14ac:dyDescent="0.25">
      <c r="A13" s="558" t="s">
        <v>467</v>
      </c>
      <c r="B13" s="502"/>
      <c r="C13" s="565">
        <v>20474.8</v>
      </c>
      <c r="D13" s="501">
        <f t="shared" si="0"/>
        <v>20474.8</v>
      </c>
      <c r="E13" s="555" t="s">
        <v>468</v>
      </c>
    </row>
    <row r="14" spans="1:22" x14ac:dyDescent="0.25">
      <c r="A14" s="390" t="s">
        <v>469</v>
      </c>
      <c r="B14" s="502"/>
      <c r="C14" s="502">
        <v>3744</v>
      </c>
      <c r="D14" s="501">
        <f t="shared" si="0"/>
        <v>3744</v>
      </c>
      <c r="E14" s="556"/>
    </row>
    <row r="15" spans="1:22" x14ac:dyDescent="0.25">
      <c r="A15" s="390" t="s">
        <v>470</v>
      </c>
      <c r="B15" s="502"/>
      <c r="C15" s="502">
        <v>7500</v>
      </c>
      <c r="D15" s="501">
        <f t="shared" si="0"/>
        <v>7500</v>
      </c>
      <c r="E15" s="556"/>
    </row>
    <row r="16" spans="1:22" x14ac:dyDescent="0.25">
      <c r="A16" s="390" t="s">
        <v>471</v>
      </c>
      <c r="B16" s="502"/>
      <c r="C16" s="502">
        <v>68180</v>
      </c>
      <c r="D16" s="501">
        <f t="shared" si="0"/>
        <v>68180</v>
      </c>
      <c r="E16" s="359"/>
    </row>
    <row r="17" spans="1:5" ht="47.25" x14ac:dyDescent="0.25">
      <c r="A17" s="390" t="s">
        <v>172</v>
      </c>
      <c r="B17" s="565">
        <v>34265.1</v>
      </c>
      <c r="C17" s="565">
        <v>55914.8</v>
      </c>
      <c r="D17" s="501">
        <f t="shared" si="0"/>
        <v>21649.700000000004</v>
      </c>
      <c r="E17" s="359"/>
    </row>
    <row r="18" spans="1:5" ht="31.5" x14ac:dyDescent="0.25">
      <c r="A18" s="390" t="s">
        <v>472</v>
      </c>
      <c r="B18" s="502"/>
      <c r="C18" s="565">
        <v>1521.8</v>
      </c>
      <c r="D18" s="501">
        <f t="shared" si="0"/>
        <v>1521.8</v>
      </c>
      <c r="E18" s="359"/>
    </row>
    <row r="19" spans="1:5" x14ac:dyDescent="0.25">
      <c r="A19" s="390"/>
      <c r="B19" s="502"/>
      <c r="C19" s="565"/>
      <c r="D19" s="501">
        <f t="shared" si="0"/>
        <v>0</v>
      </c>
      <c r="E19" s="359"/>
    </row>
    <row r="20" spans="1:5" x14ac:dyDescent="0.25">
      <c r="A20" s="390"/>
      <c r="B20" s="502"/>
      <c r="C20" s="502"/>
      <c r="D20" s="501">
        <f t="shared" si="0"/>
        <v>0</v>
      </c>
      <c r="E20" s="359"/>
    </row>
    <row r="21" spans="1:5" x14ac:dyDescent="0.25">
      <c r="A21" s="388"/>
    </row>
    <row r="22" spans="1:5" x14ac:dyDescent="0.25">
      <c r="A22" s="388"/>
    </row>
    <row r="23" spans="1:5" x14ac:dyDescent="0.25">
      <c r="A23" s="388"/>
    </row>
    <row r="24" spans="1:5" x14ac:dyDescent="0.25">
      <c r="A24" s="388"/>
    </row>
  </sheetData>
  <mergeCells count="1">
    <mergeCell ref="A1:E1"/>
  </mergeCells>
  <pageMargins left="0.7" right="0.7" top="0.75" bottom="0.75" header="0.3" footer="0.3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32"/>
  <sheetViews>
    <sheetView view="pageBreakPreview" topLeftCell="A10" zoomScale="130" zoomScaleNormal="100" zoomScaleSheetLayoutView="130" workbookViewId="0">
      <selection activeCell="A7" sqref="A7"/>
    </sheetView>
  </sheetViews>
  <sheetFormatPr defaultRowHeight="15.75" x14ac:dyDescent="0.25"/>
  <cols>
    <col min="1" max="1" width="38.5703125" style="1" customWidth="1"/>
    <col min="2" max="2" width="12.85546875" style="1" customWidth="1"/>
    <col min="3" max="3" width="14.42578125" style="1" customWidth="1"/>
    <col min="4" max="4" width="15" style="1" customWidth="1"/>
    <col min="5" max="5" width="69.85546875" style="1" customWidth="1"/>
    <col min="6" max="12" width="9.140625" style="1"/>
  </cols>
  <sheetData>
    <row r="1" spans="1:6" ht="39" customHeight="1" x14ac:dyDescent="0.25">
      <c r="A1" s="787" t="s">
        <v>484</v>
      </c>
      <c r="B1" s="788"/>
      <c r="C1" s="788"/>
      <c r="D1" s="788"/>
      <c r="E1" s="788"/>
      <c r="F1" s="618"/>
    </row>
    <row r="2" spans="1:6" x14ac:dyDescent="0.25">
      <c r="E2" s="503" t="s">
        <v>70</v>
      </c>
    </row>
    <row r="3" spans="1:6" x14ac:dyDescent="0.25">
      <c r="A3" s="389" t="s">
        <v>313</v>
      </c>
      <c r="B3" s="389" t="s">
        <v>474</v>
      </c>
      <c r="C3" s="389" t="s">
        <v>475</v>
      </c>
      <c r="D3" s="389" t="s">
        <v>277</v>
      </c>
      <c r="E3" s="389" t="s">
        <v>476</v>
      </c>
    </row>
    <row r="4" spans="1:6" ht="174.75" customHeight="1" x14ac:dyDescent="0.25">
      <c r="A4" s="497" t="s">
        <v>464</v>
      </c>
      <c r="B4" s="499"/>
      <c r="C4" s="499">
        <v>5000</v>
      </c>
      <c r="D4" s="499">
        <f>C4-B4</f>
        <v>5000</v>
      </c>
      <c r="E4" s="555" t="s">
        <v>463</v>
      </c>
    </row>
    <row r="5" spans="1:6" ht="94.5" x14ac:dyDescent="0.25">
      <c r="A5" s="497" t="s">
        <v>478</v>
      </c>
      <c r="B5" s="499">
        <v>0</v>
      </c>
      <c r="C5" s="499">
        <v>220</v>
      </c>
      <c r="D5" s="499">
        <f t="shared" ref="D5:D9" si="0">C5-B5</f>
        <v>220</v>
      </c>
      <c r="E5" s="390" t="s">
        <v>485</v>
      </c>
    </row>
    <row r="6" spans="1:6" ht="47.25" x14ac:dyDescent="0.25">
      <c r="A6" s="497" t="s">
        <v>479</v>
      </c>
      <c r="B6" s="499">
        <v>1100</v>
      </c>
      <c r="C6" s="499">
        <v>1100</v>
      </c>
      <c r="D6" s="499">
        <f>C6-B6</f>
        <v>0</v>
      </c>
      <c r="E6" s="390" t="s">
        <v>494</v>
      </c>
    </row>
    <row r="7" spans="1:6" ht="63" x14ac:dyDescent="0.25">
      <c r="A7" s="497" t="s">
        <v>483</v>
      </c>
      <c r="B7" s="499">
        <v>100</v>
      </c>
      <c r="C7" s="499">
        <v>0</v>
      </c>
      <c r="D7" s="499"/>
      <c r="E7" s="390"/>
    </row>
    <row r="8" spans="1:6" ht="31.5" x14ac:dyDescent="0.25">
      <c r="A8" s="497" t="s">
        <v>477</v>
      </c>
      <c r="B8" s="499">
        <v>0</v>
      </c>
      <c r="C8" s="499">
        <v>5</v>
      </c>
      <c r="D8" s="499">
        <f>C8-B8</f>
        <v>5</v>
      </c>
      <c r="E8" s="359"/>
    </row>
    <row r="9" spans="1:6" ht="31.5" x14ac:dyDescent="0.25">
      <c r="A9" s="557" t="s">
        <v>427</v>
      </c>
      <c r="B9" s="499">
        <v>21</v>
      </c>
      <c r="C9" s="499">
        <v>20</v>
      </c>
      <c r="D9" s="499">
        <f t="shared" si="0"/>
        <v>-1</v>
      </c>
      <c r="E9" s="390" t="s">
        <v>492</v>
      </c>
    </row>
    <row r="10" spans="1:6" ht="63" x14ac:dyDescent="0.25">
      <c r="A10" s="557" t="s">
        <v>430</v>
      </c>
      <c r="B10" s="499">
        <v>0</v>
      </c>
      <c r="C10" s="499">
        <v>60</v>
      </c>
      <c r="D10" s="499">
        <f t="shared" ref="D10:D18" si="1">C10-B10</f>
        <v>60</v>
      </c>
      <c r="E10" s="390" t="s">
        <v>486</v>
      </c>
    </row>
    <row r="11" spans="1:6" ht="47.25" x14ac:dyDescent="0.25">
      <c r="A11" s="497" t="s">
        <v>434</v>
      </c>
      <c r="B11" s="499">
        <v>80</v>
      </c>
      <c r="C11" s="499">
        <v>80</v>
      </c>
      <c r="D11" s="499">
        <f t="shared" si="1"/>
        <v>0</v>
      </c>
      <c r="E11" s="390" t="s">
        <v>493</v>
      </c>
    </row>
    <row r="12" spans="1:6" ht="81.75" customHeight="1" x14ac:dyDescent="0.25">
      <c r="A12" s="497" t="s">
        <v>487</v>
      </c>
      <c r="B12" s="499">
        <v>0</v>
      </c>
      <c r="C12" s="499">
        <v>38</v>
      </c>
      <c r="D12" s="499">
        <f t="shared" si="1"/>
        <v>38</v>
      </c>
      <c r="E12" s="555" t="s">
        <v>488</v>
      </c>
    </row>
    <row r="13" spans="1:6" ht="47.25" x14ac:dyDescent="0.25">
      <c r="A13" s="497" t="s">
        <v>480</v>
      </c>
      <c r="B13" s="499">
        <v>140</v>
      </c>
      <c r="C13" s="499">
        <v>140</v>
      </c>
      <c r="D13" s="499">
        <f t="shared" si="1"/>
        <v>0</v>
      </c>
      <c r="E13" s="390" t="s">
        <v>493</v>
      </c>
    </row>
    <row r="14" spans="1:6" ht="31.5" x14ac:dyDescent="0.25">
      <c r="A14" s="497" t="s">
        <v>442</v>
      </c>
      <c r="B14" s="499">
        <v>15</v>
      </c>
      <c r="C14" s="499">
        <v>15</v>
      </c>
      <c r="D14" s="499">
        <f t="shared" si="1"/>
        <v>0</v>
      </c>
      <c r="E14" s="390" t="s">
        <v>492</v>
      </c>
    </row>
    <row r="15" spans="1:6" ht="31.5" x14ac:dyDescent="0.25">
      <c r="A15" s="497" t="s">
        <v>444</v>
      </c>
      <c r="B15" s="499">
        <v>74</v>
      </c>
      <c r="C15" s="499">
        <v>74</v>
      </c>
      <c r="D15" s="499">
        <f t="shared" si="1"/>
        <v>0</v>
      </c>
      <c r="E15" s="390" t="s">
        <v>491</v>
      </c>
    </row>
    <row r="16" spans="1:6" ht="31.5" x14ac:dyDescent="0.25">
      <c r="A16" s="497" t="s">
        <v>481</v>
      </c>
      <c r="B16" s="499">
        <v>39</v>
      </c>
      <c r="C16" s="499">
        <v>45</v>
      </c>
      <c r="D16" s="499">
        <f t="shared" si="1"/>
        <v>6</v>
      </c>
      <c r="E16" s="390" t="s">
        <v>489</v>
      </c>
    </row>
    <row r="17" spans="1:12" ht="76.5" customHeight="1" x14ac:dyDescent="0.25">
      <c r="A17" s="497" t="s">
        <v>482</v>
      </c>
      <c r="B17" s="499">
        <v>30</v>
      </c>
      <c r="C17" s="499">
        <v>0</v>
      </c>
      <c r="D17" s="499">
        <f t="shared" si="1"/>
        <v>-30</v>
      </c>
      <c r="E17" s="555" t="s">
        <v>490</v>
      </c>
    </row>
    <row r="18" spans="1:12" s="397" customFormat="1" x14ac:dyDescent="0.25">
      <c r="A18" s="498" t="s">
        <v>90</v>
      </c>
      <c r="B18" s="562">
        <f>SUM(B4:B17)</f>
        <v>1599</v>
      </c>
      <c r="C18" s="562">
        <f>SUM(C4:C17)</f>
        <v>6797</v>
      </c>
      <c r="D18" s="562">
        <f t="shared" si="1"/>
        <v>5198</v>
      </c>
      <c r="E18" s="393" t="s">
        <v>155</v>
      </c>
      <c r="F18" s="396"/>
      <c r="G18" s="396"/>
      <c r="H18" s="396"/>
      <c r="I18" s="396"/>
      <c r="J18" s="396"/>
      <c r="K18" s="396"/>
      <c r="L18" s="396"/>
    </row>
    <row r="19" spans="1:12" x14ac:dyDescent="0.25">
      <c r="A19" s="495"/>
      <c r="B19" s="617"/>
      <c r="C19" s="617"/>
      <c r="D19" s="617"/>
    </row>
    <row r="20" spans="1:12" x14ac:dyDescent="0.25">
      <c r="A20" s="388"/>
      <c r="B20" s="617"/>
      <c r="C20" s="617"/>
      <c r="D20" s="617"/>
    </row>
    <row r="21" spans="1:12" x14ac:dyDescent="0.25">
      <c r="A21" s="388"/>
      <c r="B21" s="617"/>
      <c r="C21" s="617"/>
      <c r="D21" s="617"/>
    </row>
    <row r="22" spans="1:12" x14ac:dyDescent="0.25">
      <c r="A22" s="388"/>
      <c r="B22" s="617"/>
      <c r="C22" s="617"/>
      <c r="D22" s="617"/>
    </row>
    <row r="23" spans="1:12" x14ac:dyDescent="0.25">
      <c r="A23" s="388"/>
      <c r="B23" s="617"/>
      <c r="C23" s="617"/>
      <c r="D23" s="617"/>
    </row>
    <row r="24" spans="1:12" x14ac:dyDescent="0.25">
      <c r="A24" s="388"/>
      <c r="B24" s="617"/>
      <c r="C24" s="617"/>
      <c r="D24" s="617"/>
    </row>
    <row r="25" spans="1:12" x14ac:dyDescent="0.25">
      <c r="B25" s="617"/>
      <c r="C25" s="617"/>
      <c r="D25" s="617"/>
    </row>
    <row r="26" spans="1:12" x14ac:dyDescent="0.25">
      <c r="B26" s="617"/>
      <c r="C26" s="617"/>
      <c r="D26" s="617"/>
    </row>
    <row r="27" spans="1:12" x14ac:dyDescent="0.25">
      <c r="B27" s="617"/>
      <c r="C27" s="617"/>
      <c r="D27" s="617"/>
    </row>
    <row r="28" spans="1:12" x14ac:dyDescent="0.25">
      <c r="B28" s="617"/>
      <c r="C28" s="617"/>
      <c r="D28" s="617"/>
    </row>
    <row r="29" spans="1:12" x14ac:dyDescent="0.25">
      <c r="B29" s="617"/>
      <c r="C29" s="617"/>
      <c r="D29" s="617"/>
    </row>
    <row r="30" spans="1:12" x14ac:dyDescent="0.25">
      <c r="B30" s="617"/>
      <c r="C30" s="617"/>
      <c r="D30" s="617"/>
    </row>
    <row r="31" spans="1:12" x14ac:dyDescent="0.25">
      <c r="B31" s="617"/>
      <c r="C31" s="617"/>
      <c r="D31" s="617"/>
    </row>
    <row r="32" spans="1:12" x14ac:dyDescent="0.25">
      <c r="B32" s="617"/>
      <c r="C32" s="617"/>
      <c r="D32" s="617"/>
    </row>
  </sheetData>
  <mergeCells count="1">
    <mergeCell ref="A1:E1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5" tint="-0.249977111117893"/>
    <pageSetUpPr fitToPage="1"/>
  </sheetPr>
  <dimension ref="A1:L11"/>
  <sheetViews>
    <sheetView view="pageBreakPreview" zoomScale="130" zoomScaleNormal="100" zoomScaleSheetLayoutView="130" workbookViewId="0">
      <selection activeCell="C26" sqref="C26"/>
    </sheetView>
  </sheetViews>
  <sheetFormatPr defaultRowHeight="15" x14ac:dyDescent="0.25"/>
  <cols>
    <col min="1" max="2" width="18.28515625" style="125" customWidth="1"/>
    <col min="3" max="3" width="20.28515625" style="125" customWidth="1"/>
    <col min="4" max="4" width="21" style="125" customWidth="1"/>
    <col min="5" max="8" width="21.140625" style="125" customWidth="1"/>
    <col min="9" max="9" width="17.28515625" style="125" customWidth="1"/>
    <col min="10" max="12" width="9.140625" style="125"/>
  </cols>
  <sheetData>
    <row r="1" spans="1:12" ht="36" customHeight="1" x14ac:dyDescent="0.25">
      <c r="A1" s="668" t="s">
        <v>71</v>
      </c>
      <c r="B1" s="668"/>
      <c r="C1" s="668"/>
      <c r="D1" s="668"/>
      <c r="E1" s="668"/>
      <c r="F1" s="668"/>
      <c r="G1" s="668"/>
      <c r="H1" s="668"/>
      <c r="I1" s="668"/>
    </row>
    <row r="2" spans="1:12" x14ac:dyDescent="0.25">
      <c r="I2" s="127" t="s">
        <v>70</v>
      </c>
    </row>
    <row r="3" spans="1:12" s="118" customFormat="1" ht="75" x14ac:dyDescent="0.25">
      <c r="A3" s="119" t="s">
        <v>64</v>
      </c>
      <c r="B3" s="119" t="s">
        <v>66</v>
      </c>
      <c r="C3" s="119" t="s">
        <v>65</v>
      </c>
      <c r="D3" s="119" t="s">
        <v>67</v>
      </c>
      <c r="E3" s="119" t="s">
        <v>68</v>
      </c>
      <c r="F3" s="119" t="s">
        <v>73</v>
      </c>
      <c r="G3" s="119" t="s">
        <v>69</v>
      </c>
      <c r="H3" s="119" t="s">
        <v>74</v>
      </c>
      <c r="I3" s="119" t="s">
        <v>72</v>
      </c>
      <c r="J3" s="120"/>
      <c r="K3" s="120"/>
      <c r="L3" s="120"/>
    </row>
    <row r="4" spans="1:12" x14ac:dyDescent="0.25">
      <c r="A4" s="121">
        <f>'1_краснод на 2021'!N167/1000</f>
        <v>6.1671416666666667</v>
      </c>
      <c r="B4" s="121">
        <f>A4*12</f>
        <v>74.005700000000004</v>
      </c>
      <c r="C4" s="122">
        <f>(8+11+11+21+16+21+19+12)/8</f>
        <v>14.875</v>
      </c>
      <c r="D4" s="123">
        <f>B4*C4</f>
        <v>1100.8347875000002</v>
      </c>
      <c r="E4" s="123">
        <f>'1_краснод на 2021'!O166/1000</f>
        <v>5559.9132800000007</v>
      </c>
      <c r="F4" s="123">
        <v>6036.8</v>
      </c>
      <c r="G4" s="124">
        <f>D4+E4</f>
        <v>6660.7480675000006</v>
      </c>
      <c r="H4" s="124">
        <f>G4-F4</f>
        <v>623.94806750000043</v>
      </c>
      <c r="I4" s="124">
        <f>G4/F4*100</f>
        <v>110.33574190796449</v>
      </c>
    </row>
    <row r="5" spans="1:12" x14ac:dyDescent="0.25">
      <c r="A5" s="126"/>
      <c r="B5" s="126"/>
      <c r="C5" s="126"/>
      <c r="D5" s="126"/>
      <c r="E5" s="126"/>
      <c r="F5" s="126"/>
      <c r="G5" s="126"/>
      <c r="H5" s="126"/>
      <c r="I5" s="126"/>
    </row>
    <row r="6" spans="1:12" x14ac:dyDescent="0.25">
      <c r="A6" s="126"/>
      <c r="B6" s="126"/>
      <c r="C6" s="126"/>
      <c r="D6" s="126"/>
      <c r="E6" s="126"/>
      <c r="F6" s="126"/>
      <c r="G6" s="126">
        <v>6661</v>
      </c>
      <c r="H6" s="126"/>
      <c r="I6" s="126"/>
    </row>
    <row r="7" spans="1:12" x14ac:dyDescent="0.25">
      <c r="A7" s="126"/>
      <c r="B7" s="126"/>
      <c r="C7" s="126"/>
      <c r="D7" s="126"/>
      <c r="E7" s="126"/>
      <c r="F7" s="126"/>
      <c r="G7" s="126"/>
      <c r="H7" s="126"/>
      <c r="I7" s="126"/>
    </row>
    <row r="8" spans="1:12" x14ac:dyDescent="0.25">
      <c r="A8" s="126"/>
      <c r="B8" s="126"/>
      <c r="C8" s="126"/>
      <c r="D8" s="126"/>
      <c r="E8" s="126"/>
      <c r="F8" s="126"/>
      <c r="G8" s="126"/>
      <c r="H8" s="126"/>
      <c r="I8" s="126"/>
    </row>
    <row r="9" spans="1:12" x14ac:dyDescent="0.25">
      <c r="A9" s="126"/>
      <c r="B9" s="126"/>
      <c r="C9" s="126"/>
      <c r="D9" s="126"/>
      <c r="E9" s="126"/>
      <c r="F9" s="126"/>
      <c r="G9" s="126"/>
      <c r="H9" s="126"/>
      <c r="I9" s="126"/>
    </row>
    <row r="10" spans="1:12" x14ac:dyDescent="0.25">
      <c r="A10" s="126"/>
      <c r="B10" s="126"/>
      <c r="C10" s="126"/>
      <c r="D10" s="126"/>
      <c r="E10" s="126"/>
      <c r="F10" s="126"/>
      <c r="G10" s="126"/>
      <c r="H10" s="126"/>
      <c r="I10" s="126"/>
    </row>
    <row r="11" spans="1:12" x14ac:dyDescent="0.25">
      <c r="A11" s="126"/>
      <c r="B11" s="126"/>
      <c r="C11" s="126"/>
      <c r="D11" s="126"/>
      <c r="E11" s="126"/>
      <c r="F11" s="126"/>
      <c r="G11" s="126"/>
      <c r="H11" s="126"/>
      <c r="I11" s="126"/>
    </row>
  </sheetData>
  <mergeCells count="1">
    <mergeCell ref="A1:I1"/>
  </mergeCells>
  <pageMargins left="0.9055118110236221" right="0.70866141732283472" top="0.74803149606299213" bottom="0.74803149606299213" header="0.31496062992125984" footer="0.31496062992125984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L32"/>
  <sheetViews>
    <sheetView view="pageBreakPreview" zoomScale="130" zoomScaleNormal="100" zoomScaleSheetLayoutView="130" workbookViewId="0">
      <selection activeCell="E6" sqref="E6"/>
    </sheetView>
  </sheetViews>
  <sheetFormatPr defaultRowHeight="15.75" x14ac:dyDescent="0.25"/>
  <cols>
    <col min="1" max="1" width="38.5703125" style="1" customWidth="1"/>
    <col min="2" max="2" width="15.28515625" style="1" customWidth="1"/>
    <col min="3" max="3" width="14.42578125" style="1" customWidth="1"/>
    <col min="4" max="4" width="15" style="1" customWidth="1"/>
    <col min="5" max="5" width="69.85546875" style="1" customWidth="1"/>
    <col min="6" max="12" width="9.140625" style="1"/>
  </cols>
  <sheetData>
    <row r="1" spans="1:6" ht="39" customHeight="1" x14ac:dyDescent="0.25">
      <c r="A1" s="787" t="s">
        <v>495</v>
      </c>
      <c r="B1" s="788"/>
      <c r="C1" s="788"/>
      <c r="D1" s="788"/>
      <c r="E1" s="619"/>
      <c r="F1" s="618"/>
    </row>
    <row r="2" spans="1:6" x14ac:dyDescent="0.25">
      <c r="D2" s="503" t="s">
        <v>70</v>
      </c>
    </row>
    <row r="3" spans="1:6" x14ac:dyDescent="0.25">
      <c r="A3" s="389" t="s">
        <v>313</v>
      </c>
      <c r="B3" s="389" t="s">
        <v>474</v>
      </c>
      <c r="C3" s="389" t="s">
        <v>475</v>
      </c>
      <c r="D3" s="389" t="s">
        <v>277</v>
      </c>
      <c r="E3" s="389" t="s">
        <v>476</v>
      </c>
    </row>
    <row r="4" spans="1:6" x14ac:dyDescent="0.25">
      <c r="A4" s="559" t="s">
        <v>427</v>
      </c>
      <c r="B4" s="499">
        <v>2051</v>
      </c>
      <c r="C4" s="499">
        <v>2365</v>
      </c>
      <c r="D4" s="499">
        <f>C4-B4</f>
        <v>314</v>
      </c>
      <c r="E4" s="555"/>
    </row>
    <row r="5" spans="1:6" x14ac:dyDescent="0.25">
      <c r="A5" s="558" t="s">
        <v>430</v>
      </c>
      <c r="B5" s="499">
        <v>7281</v>
      </c>
      <c r="C5" s="499">
        <v>7281</v>
      </c>
      <c r="D5" s="499">
        <f t="shared" ref="D5:D18" si="0">C5-B5</f>
        <v>0</v>
      </c>
      <c r="E5" s="390"/>
    </row>
    <row r="6" spans="1:6" ht="47.25" x14ac:dyDescent="0.25">
      <c r="A6" s="497" t="s">
        <v>478</v>
      </c>
      <c r="B6" s="499">
        <v>0</v>
      </c>
      <c r="C6" s="499">
        <v>200</v>
      </c>
      <c r="D6" s="499">
        <f>C6-B6</f>
        <v>200</v>
      </c>
      <c r="E6" s="390"/>
    </row>
    <row r="7" spans="1:6" ht="31.5" x14ac:dyDescent="0.25">
      <c r="A7" s="497" t="s">
        <v>477</v>
      </c>
      <c r="B7" s="499">
        <v>9643</v>
      </c>
      <c r="C7" s="499">
        <v>9653</v>
      </c>
      <c r="D7" s="499"/>
      <c r="E7" s="390"/>
    </row>
    <row r="8" spans="1:6" ht="63" x14ac:dyDescent="0.25">
      <c r="A8" s="497" t="s">
        <v>496</v>
      </c>
      <c r="B8" s="499"/>
      <c r="C8" s="499"/>
      <c r="D8" s="499">
        <f>C8-B8</f>
        <v>0</v>
      </c>
      <c r="E8" s="359"/>
    </row>
    <row r="9" spans="1:6" x14ac:dyDescent="0.25">
      <c r="A9" s="564"/>
      <c r="B9" s="499"/>
      <c r="C9" s="499"/>
      <c r="D9" s="499">
        <f t="shared" si="0"/>
        <v>0</v>
      </c>
      <c r="E9" s="390"/>
    </row>
    <row r="10" spans="1:6" x14ac:dyDescent="0.25">
      <c r="A10" s="564"/>
      <c r="B10" s="499"/>
      <c r="C10" s="499"/>
      <c r="D10" s="499">
        <f t="shared" si="0"/>
        <v>0</v>
      </c>
      <c r="E10" s="390"/>
    </row>
    <row r="11" spans="1:6" x14ac:dyDescent="0.25">
      <c r="A11" s="558"/>
      <c r="B11" s="499"/>
      <c r="C11" s="499"/>
      <c r="D11" s="499">
        <f t="shared" si="0"/>
        <v>0</v>
      </c>
      <c r="E11" s="390"/>
    </row>
    <row r="12" spans="1:6" x14ac:dyDescent="0.25">
      <c r="A12" s="558"/>
      <c r="B12" s="499"/>
      <c r="C12" s="499"/>
      <c r="D12" s="499">
        <f t="shared" si="0"/>
        <v>0</v>
      </c>
      <c r="E12" s="555"/>
    </row>
    <row r="13" spans="1:6" x14ac:dyDescent="0.25">
      <c r="A13" s="558"/>
      <c r="B13" s="499"/>
      <c r="C13" s="499"/>
      <c r="D13" s="499">
        <f t="shared" si="0"/>
        <v>0</v>
      </c>
      <c r="E13" s="390"/>
    </row>
    <row r="14" spans="1:6" x14ac:dyDescent="0.25">
      <c r="A14" s="558"/>
      <c r="B14" s="499"/>
      <c r="C14" s="499"/>
      <c r="D14" s="499">
        <f t="shared" si="0"/>
        <v>0</v>
      </c>
      <c r="E14" s="390"/>
    </row>
    <row r="15" spans="1:6" x14ac:dyDescent="0.25">
      <c r="A15" s="558"/>
      <c r="B15" s="499"/>
      <c r="C15" s="499"/>
      <c r="D15" s="499">
        <f t="shared" si="0"/>
        <v>0</v>
      </c>
      <c r="E15" s="390"/>
    </row>
    <row r="16" spans="1:6" x14ac:dyDescent="0.25">
      <c r="A16" s="558"/>
      <c r="B16" s="499"/>
      <c r="C16" s="499"/>
      <c r="D16" s="499">
        <f t="shared" si="0"/>
        <v>0</v>
      </c>
      <c r="E16" s="390"/>
    </row>
    <row r="17" spans="1:12" x14ac:dyDescent="0.25">
      <c r="A17" s="558"/>
      <c r="B17" s="499"/>
      <c r="C17" s="499"/>
      <c r="D17" s="499">
        <f t="shared" si="0"/>
        <v>0</v>
      </c>
      <c r="E17" s="555"/>
    </row>
    <row r="18" spans="1:12" s="397" customFormat="1" x14ac:dyDescent="0.25">
      <c r="A18" s="498" t="s">
        <v>90</v>
      </c>
      <c r="B18" s="562">
        <f>SUM(B4:B17)</f>
        <v>18975</v>
      </c>
      <c r="C18" s="562">
        <f>SUM(C4:C17)</f>
        <v>19499</v>
      </c>
      <c r="D18" s="562">
        <f t="shared" si="0"/>
        <v>524</v>
      </c>
      <c r="E18" s="393" t="s">
        <v>155</v>
      </c>
      <c r="F18" s="396"/>
      <c r="G18" s="396"/>
      <c r="H18" s="396"/>
      <c r="I18" s="396"/>
      <c r="J18" s="396"/>
      <c r="K18" s="396"/>
      <c r="L18" s="396"/>
    </row>
    <row r="19" spans="1:12" x14ac:dyDescent="0.25">
      <c r="A19" s="495"/>
      <c r="B19" s="617"/>
      <c r="C19" s="617"/>
      <c r="D19" s="617"/>
    </row>
    <row r="20" spans="1:12" x14ac:dyDescent="0.25">
      <c r="A20" s="388"/>
      <c r="B20" s="617"/>
      <c r="C20" s="617"/>
      <c r="D20" s="617"/>
    </row>
    <row r="21" spans="1:12" x14ac:dyDescent="0.25">
      <c r="A21" s="388"/>
      <c r="B21" s="617"/>
      <c r="C21" s="617"/>
      <c r="D21" s="617"/>
    </row>
    <row r="22" spans="1:12" x14ac:dyDescent="0.25">
      <c r="A22" s="388"/>
      <c r="B22" s="617"/>
      <c r="C22" s="617"/>
      <c r="D22" s="617"/>
    </row>
    <row r="23" spans="1:12" x14ac:dyDescent="0.25">
      <c r="A23" s="388"/>
      <c r="B23" s="617"/>
      <c r="C23" s="617"/>
      <c r="D23" s="617"/>
    </row>
    <row r="24" spans="1:12" x14ac:dyDescent="0.25">
      <c r="A24" s="388"/>
      <c r="B24" s="617"/>
      <c r="C24" s="617"/>
      <c r="D24" s="617"/>
    </row>
    <row r="25" spans="1:12" x14ac:dyDescent="0.25">
      <c r="B25" s="617"/>
      <c r="C25" s="617"/>
      <c r="D25" s="617"/>
    </row>
    <row r="26" spans="1:12" x14ac:dyDescent="0.25">
      <c r="B26" s="617"/>
      <c r="C26" s="617"/>
      <c r="D26" s="617"/>
    </row>
    <row r="27" spans="1:12" x14ac:dyDescent="0.25">
      <c r="B27" s="617"/>
      <c r="C27" s="617"/>
      <c r="D27" s="617"/>
    </row>
    <row r="28" spans="1:12" x14ac:dyDescent="0.25">
      <c r="B28" s="617"/>
      <c r="C28" s="617"/>
      <c r="D28" s="617"/>
    </row>
    <row r="29" spans="1:12" x14ac:dyDescent="0.25">
      <c r="B29" s="617"/>
      <c r="C29" s="617"/>
      <c r="D29" s="617"/>
    </row>
    <row r="30" spans="1:12" x14ac:dyDescent="0.25">
      <c r="B30" s="617"/>
      <c r="C30" s="617"/>
      <c r="D30" s="617"/>
    </row>
    <row r="31" spans="1:12" x14ac:dyDescent="0.25">
      <c r="B31" s="617"/>
      <c r="C31" s="617"/>
      <c r="D31" s="617"/>
    </row>
    <row r="32" spans="1:12" x14ac:dyDescent="0.25">
      <c r="B32" s="617"/>
      <c r="C32" s="617"/>
      <c r="D32" s="617"/>
    </row>
  </sheetData>
  <mergeCells count="1">
    <mergeCell ref="A1:D1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</sheetPr>
  <dimension ref="A2:N69"/>
  <sheetViews>
    <sheetView view="pageBreakPreview" zoomScale="85" zoomScaleNormal="100" zoomScaleSheetLayoutView="85" workbookViewId="0">
      <pane ySplit="9" topLeftCell="A22" activePane="bottomLeft" state="frozen"/>
      <selection pane="bottomLeft" activeCell="D46" sqref="D46"/>
    </sheetView>
  </sheetViews>
  <sheetFormatPr defaultRowHeight="12.75" x14ac:dyDescent="0.25"/>
  <cols>
    <col min="1" max="1" width="24.28515625" style="167" customWidth="1"/>
    <col min="2" max="2" width="14.42578125" style="168" customWidth="1"/>
    <col min="3" max="3" width="9.42578125" style="168" customWidth="1"/>
    <col min="4" max="4" width="12.28515625" style="168" customWidth="1"/>
    <col min="5" max="5" width="12.85546875" style="168" customWidth="1"/>
    <col min="6" max="6" width="33.42578125" style="168" customWidth="1"/>
    <col min="7" max="7" width="22.42578125" style="168" customWidth="1"/>
    <col min="8" max="8" width="20" style="168" customWidth="1"/>
    <col min="9" max="9" width="11.5703125" style="168" customWidth="1"/>
    <col min="10" max="10" width="20.5703125" style="168" customWidth="1"/>
    <col min="11" max="11" width="20.7109375" style="168" customWidth="1"/>
    <col min="12" max="13" width="21.28515625" style="168" customWidth="1"/>
    <col min="14" max="14" width="14.5703125" style="128" customWidth="1"/>
    <col min="15" max="15" width="17.5703125" style="128" customWidth="1"/>
    <col min="16" max="233" width="9.140625" style="128"/>
    <col min="234" max="234" width="31.140625" style="128" customWidth="1"/>
    <col min="235" max="236" width="9.85546875" style="128" customWidth="1"/>
    <col min="237" max="237" width="10.28515625" style="128" customWidth="1"/>
    <col min="238" max="238" width="11.42578125" style="128" customWidth="1"/>
    <col min="239" max="239" width="10.28515625" style="128" customWidth="1"/>
    <col min="240" max="241" width="9.140625" style="128"/>
    <col min="242" max="242" width="10.42578125" style="128" customWidth="1"/>
    <col min="243" max="243" width="8.7109375" style="128" customWidth="1"/>
    <col min="244" max="244" width="8.42578125" style="128" customWidth="1"/>
    <col min="245" max="247" width="9.28515625" style="128" bestFit="1" customWidth="1"/>
    <col min="248" max="248" width="8.140625" style="128" customWidth="1"/>
    <col min="249" max="249" width="8" style="128" customWidth="1"/>
    <col min="250" max="250" width="9.28515625" style="128" bestFit="1" customWidth="1"/>
    <col min="251" max="251" width="10.5703125" style="128" customWidth="1"/>
    <col min="252" max="253" width="9.28515625" style="128" bestFit="1" customWidth="1"/>
    <col min="254" max="254" width="10.42578125" style="128" customWidth="1"/>
    <col min="255" max="255" width="8.85546875" style="128" customWidth="1"/>
    <col min="256" max="256" width="7.7109375" style="128" customWidth="1"/>
    <col min="257" max="257" width="9" style="128" customWidth="1"/>
    <col min="258" max="258" width="11" style="128" customWidth="1"/>
    <col min="259" max="259" width="8.5703125" style="128" customWidth="1"/>
    <col min="260" max="260" width="10.7109375" style="128" customWidth="1"/>
    <col min="261" max="261" width="9.42578125" style="128" bestFit="1" customWidth="1"/>
    <col min="262" max="489" width="9.140625" style="128"/>
    <col min="490" max="490" width="31.140625" style="128" customWidth="1"/>
    <col min="491" max="492" width="9.85546875" style="128" customWidth="1"/>
    <col min="493" max="493" width="10.28515625" style="128" customWidth="1"/>
    <col min="494" max="494" width="11.42578125" style="128" customWidth="1"/>
    <col min="495" max="495" width="10.28515625" style="128" customWidth="1"/>
    <col min="496" max="497" width="9.140625" style="128"/>
    <col min="498" max="498" width="10.42578125" style="128" customWidth="1"/>
    <col min="499" max="499" width="8.7109375" style="128" customWidth="1"/>
    <col min="500" max="500" width="8.42578125" style="128" customWidth="1"/>
    <col min="501" max="503" width="9.28515625" style="128" bestFit="1" customWidth="1"/>
    <col min="504" max="504" width="8.140625" style="128" customWidth="1"/>
    <col min="505" max="505" width="8" style="128" customWidth="1"/>
    <col min="506" max="506" width="9.28515625" style="128" bestFit="1" customWidth="1"/>
    <col min="507" max="507" width="10.5703125" style="128" customWidth="1"/>
    <col min="508" max="509" width="9.28515625" style="128" bestFit="1" customWidth="1"/>
    <col min="510" max="510" width="10.42578125" style="128" customWidth="1"/>
    <col min="511" max="511" width="8.85546875" style="128" customWidth="1"/>
    <col min="512" max="512" width="7.7109375" style="128" customWidth="1"/>
    <col min="513" max="513" width="9" style="128" customWidth="1"/>
    <col min="514" max="514" width="11" style="128" customWidth="1"/>
    <col min="515" max="515" width="8.5703125" style="128" customWidth="1"/>
    <col min="516" max="516" width="10.7109375" style="128" customWidth="1"/>
    <col min="517" max="517" width="9.42578125" style="128" bestFit="1" customWidth="1"/>
    <col min="518" max="745" width="9.140625" style="128"/>
    <col min="746" max="746" width="31.140625" style="128" customWidth="1"/>
    <col min="747" max="748" width="9.85546875" style="128" customWidth="1"/>
    <col min="749" max="749" width="10.28515625" style="128" customWidth="1"/>
    <col min="750" max="750" width="11.42578125" style="128" customWidth="1"/>
    <col min="751" max="751" width="10.28515625" style="128" customWidth="1"/>
    <col min="752" max="753" width="9.140625" style="128"/>
    <col min="754" max="754" width="10.42578125" style="128" customWidth="1"/>
    <col min="755" max="755" width="8.7109375" style="128" customWidth="1"/>
    <col min="756" max="756" width="8.42578125" style="128" customWidth="1"/>
    <col min="757" max="759" width="9.28515625" style="128" bestFit="1" customWidth="1"/>
    <col min="760" max="760" width="8.140625" style="128" customWidth="1"/>
    <col min="761" max="761" width="8" style="128" customWidth="1"/>
    <col min="762" max="762" width="9.28515625" style="128" bestFit="1" customWidth="1"/>
    <col min="763" max="763" width="10.5703125" style="128" customWidth="1"/>
    <col min="764" max="765" width="9.28515625" style="128" bestFit="1" customWidth="1"/>
    <col min="766" max="766" width="10.42578125" style="128" customWidth="1"/>
    <col min="767" max="767" width="8.85546875" style="128" customWidth="1"/>
    <col min="768" max="768" width="7.7109375" style="128" customWidth="1"/>
    <col min="769" max="769" width="9" style="128" customWidth="1"/>
    <col min="770" max="770" width="11" style="128" customWidth="1"/>
    <col min="771" max="771" width="8.5703125" style="128" customWidth="1"/>
    <col min="772" max="772" width="10.7109375" style="128" customWidth="1"/>
    <col min="773" max="773" width="9.42578125" style="128" bestFit="1" customWidth="1"/>
    <col min="774" max="1001" width="9.140625" style="128"/>
    <col min="1002" max="1002" width="31.140625" style="128" customWidth="1"/>
    <col min="1003" max="1004" width="9.85546875" style="128" customWidth="1"/>
    <col min="1005" max="1005" width="10.28515625" style="128" customWidth="1"/>
    <col min="1006" max="1006" width="11.42578125" style="128" customWidth="1"/>
    <col min="1007" max="1007" width="10.28515625" style="128" customWidth="1"/>
    <col min="1008" max="1009" width="9.140625" style="128"/>
    <col min="1010" max="1010" width="10.42578125" style="128" customWidth="1"/>
    <col min="1011" max="1011" width="8.7109375" style="128" customWidth="1"/>
    <col min="1012" max="1012" width="8.42578125" style="128" customWidth="1"/>
    <col min="1013" max="1015" width="9.28515625" style="128" bestFit="1" customWidth="1"/>
    <col min="1016" max="1016" width="8.140625" style="128" customWidth="1"/>
    <col min="1017" max="1017" width="8" style="128" customWidth="1"/>
    <col min="1018" max="1018" width="9.28515625" style="128" bestFit="1" customWidth="1"/>
    <col min="1019" max="1019" width="10.5703125" style="128" customWidth="1"/>
    <col min="1020" max="1021" width="9.28515625" style="128" bestFit="1" customWidth="1"/>
    <col min="1022" max="1022" width="10.42578125" style="128" customWidth="1"/>
    <col min="1023" max="1023" width="8.85546875" style="128" customWidth="1"/>
    <col min="1024" max="1024" width="7.7109375" style="128" customWidth="1"/>
    <col min="1025" max="1025" width="9" style="128" customWidth="1"/>
    <col min="1026" max="1026" width="11" style="128" customWidth="1"/>
    <col min="1027" max="1027" width="8.5703125" style="128" customWidth="1"/>
    <col min="1028" max="1028" width="10.7109375" style="128" customWidth="1"/>
    <col min="1029" max="1029" width="9.42578125" style="128" bestFit="1" customWidth="1"/>
    <col min="1030" max="1257" width="9.140625" style="128"/>
    <col min="1258" max="1258" width="31.140625" style="128" customWidth="1"/>
    <col min="1259" max="1260" width="9.85546875" style="128" customWidth="1"/>
    <col min="1261" max="1261" width="10.28515625" style="128" customWidth="1"/>
    <col min="1262" max="1262" width="11.42578125" style="128" customWidth="1"/>
    <col min="1263" max="1263" width="10.28515625" style="128" customWidth="1"/>
    <col min="1264" max="1265" width="9.140625" style="128"/>
    <col min="1266" max="1266" width="10.42578125" style="128" customWidth="1"/>
    <col min="1267" max="1267" width="8.7109375" style="128" customWidth="1"/>
    <col min="1268" max="1268" width="8.42578125" style="128" customWidth="1"/>
    <col min="1269" max="1271" width="9.28515625" style="128" bestFit="1" customWidth="1"/>
    <col min="1272" max="1272" width="8.140625" style="128" customWidth="1"/>
    <col min="1273" max="1273" width="8" style="128" customWidth="1"/>
    <col min="1274" max="1274" width="9.28515625" style="128" bestFit="1" customWidth="1"/>
    <col min="1275" max="1275" width="10.5703125" style="128" customWidth="1"/>
    <col min="1276" max="1277" width="9.28515625" style="128" bestFit="1" customWidth="1"/>
    <col min="1278" max="1278" width="10.42578125" style="128" customWidth="1"/>
    <col min="1279" max="1279" width="8.85546875" style="128" customWidth="1"/>
    <col min="1280" max="1280" width="7.7109375" style="128" customWidth="1"/>
    <col min="1281" max="1281" width="9" style="128" customWidth="1"/>
    <col min="1282" max="1282" width="11" style="128" customWidth="1"/>
    <col min="1283" max="1283" width="8.5703125" style="128" customWidth="1"/>
    <col min="1284" max="1284" width="10.7109375" style="128" customWidth="1"/>
    <col min="1285" max="1285" width="9.42578125" style="128" bestFit="1" customWidth="1"/>
    <col min="1286" max="1513" width="9.140625" style="128"/>
    <col min="1514" max="1514" width="31.140625" style="128" customWidth="1"/>
    <col min="1515" max="1516" width="9.85546875" style="128" customWidth="1"/>
    <col min="1517" max="1517" width="10.28515625" style="128" customWidth="1"/>
    <col min="1518" max="1518" width="11.42578125" style="128" customWidth="1"/>
    <col min="1519" max="1519" width="10.28515625" style="128" customWidth="1"/>
    <col min="1520" max="1521" width="9.140625" style="128"/>
    <col min="1522" max="1522" width="10.42578125" style="128" customWidth="1"/>
    <col min="1523" max="1523" width="8.7109375" style="128" customWidth="1"/>
    <col min="1524" max="1524" width="8.42578125" style="128" customWidth="1"/>
    <col min="1525" max="1527" width="9.28515625" style="128" bestFit="1" customWidth="1"/>
    <col min="1528" max="1528" width="8.140625" style="128" customWidth="1"/>
    <col min="1529" max="1529" width="8" style="128" customWidth="1"/>
    <col min="1530" max="1530" width="9.28515625" style="128" bestFit="1" customWidth="1"/>
    <col min="1531" max="1531" width="10.5703125" style="128" customWidth="1"/>
    <col min="1532" max="1533" width="9.28515625" style="128" bestFit="1" customWidth="1"/>
    <col min="1534" max="1534" width="10.42578125" style="128" customWidth="1"/>
    <col min="1535" max="1535" width="8.85546875" style="128" customWidth="1"/>
    <col min="1536" max="1536" width="7.7109375" style="128" customWidth="1"/>
    <col min="1537" max="1537" width="9" style="128" customWidth="1"/>
    <col min="1538" max="1538" width="11" style="128" customWidth="1"/>
    <col min="1539" max="1539" width="8.5703125" style="128" customWidth="1"/>
    <col min="1540" max="1540" width="10.7109375" style="128" customWidth="1"/>
    <col min="1541" max="1541" width="9.42578125" style="128" bestFit="1" customWidth="1"/>
    <col min="1542" max="1769" width="9.140625" style="128"/>
    <col min="1770" max="1770" width="31.140625" style="128" customWidth="1"/>
    <col min="1771" max="1772" width="9.85546875" style="128" customWidth="1"/>
    <col min="1773" max="1773" width="10.28515625" style="128" customWidth="1"/>
    <col min="1774" max="1774" width="11.42578125" style="128" customWidth="1"/>
    <col min="1775" max="1775" width="10.28515625" style="128" customWidth="1"/>
    <col min="1776" max="1777" width="9.140625" style="128"/>
    <col min="1778" max="1778" width="10.42578125" style="128" customWidth="1"/>
    <col min="1779" max="1779" width="8.7109375" style="128" customWidth="1"/>
    <col min="1780" max="1780" width="8.42578125" style="128" customWidth="1"/>
    <col min="1781" max="1783" width="9.28515625" style="128" bestFit="1" customWidth="1"/>
    <col min="1784" max="1784" width="8.140625" style="128" customWidth="1"/>
    <col min="1785" max="1785" width="8" style="128" customWidth="1"/>
    <col min="1786" max="1786" width="9.28515625" style="128" bestFit="1" customWidth="1"/>
    <col min="1787" max="1787" width="10.5703125" style="128" customWidth="1"/>
    <col min="1788" max="1789" width="9.28515625" style="128" bestFit="1" customWidth="1"/>
    <col min="1790" max="1790" width="10.42578125" style="128" customWidth="1"/>
    <col min="1791" max="1791" width="8.85546875" style="128" customWidth="1"/>
    <col min="1792" max="1792" width="7.7109375" style="128" customWidth="1"/>
    <col min="1793" max="1793" width="9" style="128" customWidth="1"/>
    <col min="1794" max="1794" width="11" style="128" customWidth="1"/>
    <col min="1795" max="1795" width="8.5703125" style="128" customWidth="1"/>
    <col min="1796" max="1796" width="10.7109375" style="128" customWidth="1"/>
    <col min="1797" max="1797" width="9.42578125" style="128" bestFit="1" customWidth="1"/>
    <col min="1798" max="2025" width="9.140625" style="128"/>
    <col min="2026" max="2026" width="31.140625" style="128" customWidth="1"/>
    <col min="2027" max="2028" width="9.85546875" style="128" customWidth="1"/>
    <col min="2029" max="2029" width="10.28515625" style="128" customWidth="1"/>
    <col min="2030" max="2030" width="11.42578125" style="128" customWidth="1"/>
    <col min="2031" max="2031" width="10.28515625" style="128" customWidth="1"/>
    <col min="2032" max="2033" width="9.140625" style="128"/>
    <col min="2034" max="2034" width="10.42578125" style="128" customWidth="1"/>
    <col min="2035" max="2035" width="8.7109375" style="128" customWidth="1"/>
    <col min="2036" max="2036" width="8.42578125" style="128" customWidth="1"/>
    <col min="2037" max="2039" width="9.28515625" style="128" bestFit="1" customWidth="1"/>
    <col min="2040" max="2040" width="8.140625" style="128" customWidth="1"/>
    <col min="2041" max="2041" width="8" style="128" customWidth="1"/>
    <col min="2042" max="2042" width="9.28515625" style="128" bestFit="1" customWidth="1"/>
    <col min="2043" max="2043" width="10.5703125" style="128" customWidth="1"/>
    <col min="2044" max="2045" width="9.28515625" style="128" bestFit="1" customWidth="1"/>
    <col min="2046" max="2046" width="10.42578125" style="128" customWidth="1"/>
    <col min="2047" max="2047" width="8.85546875" style="128" customWidth="1"/>
    <col min="2048" max="2048" width="7.7109375" style="128" customWidth="1"/>
    <col min="2049" max="2049" width="9" style="128" customWidth="1"/>
    <col min="2050" max="2050" width="11" style="128" customWidth="1"/>
    <col min="2051" max="2051" width="8.5703125" style="128" customWidth="1"/>
    <col min="2052" max="2052" width="10.7109375" style="128" customWidth="1"/>
    <col min="2053" max="2053" width="9.42578125" style="128" bestFit="1" customWidth="1"/>
    <col min="2054" max="2281" width="9.140625" style="128"/>
    <col min="2282" max="2282" width="31.140625" style="128" customWidth="1"/>
    <col min="2283" max="2284" width="9.85546875" style="128" customWidth="1"/>
    <col min="2285" max="2285" width="10.28515625" style="128" customWidth="1"/>
    <col min="2286" max="2286" width="11.42578125" style="128" customWidth="1"/>
    <col min="2287" max="2287" width="10.28515625" style="128" customWidth="1"/>
    <col min="2288" max="2289" width="9.140625" style="128"/>
    <col min="2290" max="2290" width="10.42578125" style="128" customWidth="1"/>
    <col min="2291" max="2291" width="8.7109375" style="128" customWidth="1"/>
    <col min="2292" max="2292" width="8.42578125" style="128" customWidth="1"/>
    <col min="2293" max="2295" width="9.28515625" style="128" bestFit="1" customWidth="1"/>
    <col min="2296" max="2296" width="8.140625" style="128" customWidth="1"/>
    <col min="2297" max="2297" width="8" style="128" customWidth="1"/>
    <col min="2298" max="2298" width="9.28515625" style="128" bestFit="1" customWidth="1"/>
    <col min="2299" max="2299" width="10.5703125" style="128" customWidth="1"/>
    <col min="2300" max="2301" width="9.28515625" style="128" bestFit="1" customWidth="1"/>
    <col min="2302" max="2302" width="10.42578125" style="128" customWidth="1"/>
    <col min="2303" max="2303" width="8.85546875" style="128" customWidth="1"/>
    <col min="2304" max="2304" width="7.7109375" style="128" customWidth="1"/>
    <col min="2305" max="2305" width="9" style="128" customWidth="1"/>
    <col min="2306" max="2306" width="11" style="128" customWidth="1"/>
    <col min="2307" max="2307" width="8.5703125" style="128" customWidth="1"/>
    <col min="2308" max="2308" width="10.7109375" style="128" customWidth="1"/>
    <col min="2309" max="2309" width="9.42578125" style="128" bestFit="1" customWidth="1"/>
    <col min="2310" max="2537" width="9.140625" style="128"/>
    <col min="2538" max="2538" width="31.140625" style="128" customWidth="1"/>
    <col min="2539" max="2540" width="9.85546875" style="128" customWidth="1"/>
    <col min="2541" max="2541" width="10.28515625" style="128" customWidth="1"/>
    <col min="2542" max="2542" width="11.42578125" style="128" customWidth="1"/>
    <col min="2543" max="2543" width="10.28515625" style="128" customWidth="1"/>
    <col min="2544" max="2545" width="9.140625" style="128"/>
    <col min="2546" max="2546" width="10.42578125" style="128" customWidth="1"/>
    <col min="2547" max="2547" width="8.7109375" style="128" customWidth="1"/>
    <col min="2548" max="2548" width="8.42578125" style="128" customWidth="1"/>
    <col min="2549" max="2551" width="9.28515625" style="128" bestFit="1" customWidth="1"/>
    <col min="2552" max="2552" width="8.140625" style="128" customWidth="1"/>
    <col min="2553" max="2553" width="8" style="128" customWidth="1"/>
    <col min="2554" max="2554" width="9.28515625" style="128" bestFit="1" customWidth="1"/>
    <col min="2555" max="2555" width="10.5703125" style="128" customWidth="1"/>
    <col min="2556" max="2557" width="9.28515625" style="128" bestFit="1" customWidth="1"/>
    <col min="2558" max="2558" width="10.42578125" style="128" customWidth="1"/>
    <col min="2559" max="2559" width="8.85546875" style="128" customWidth="1"/>
    <col min="2560" max="2560" width="7.7109375" style="128" customWidth="1"/>
    <col min="2561" max="2561" width="9" style="128" customWidth="1"/>
    <col min="2562" max="2562" width="11" style="128" customWidth="1"/>
    <col min="2563" max="2563" width="8.5703125" style="128" customWidth="1"/>
    <col min="2564" max="2564" width="10.7109375" style="128" customWidth="1"/>
    <col min="2565" max="2565" width="9.42578125" style="128" bestFit="1" customWidth="1"/>
    <col min="2566" max="2793" width="9.140625" style="128"/>
    <col min="2794" max="2794" width="31.140625" style="128" customWidth="1"/>
    <col min="2795" max="2796" width="9.85546875" style="128" customWidth="1"/>
    <col min="2797" max="2797" width="10.28515625" style="128" customWidth="1"/>
    <col min="2798" max="2798" width="11.42578125" style="128" customWidth="1"/>
    <col min="2799" max="2799" width="10.28515625" style="128" customWidth="1"/>
    <col min="2800" max="2801" width="9.140625" style="128"/>
    <col min="2802" max="2802" width="10.42578125" style="128" customWidth="1"/>
    <col min="2803" max="2803" width="8.7109375" style="128" customWidth="1"/>
    <col min="2804" max="2804" width="8.42578125" style="128" customWidth="1"/>
    <col min="2805" max="2807" width="9.28515625" style="128" bestFit="1" customWidth="1"/>
    <col min="2808" max="2808" width="8.140625" style="128" customWidth="1"/>
    <col min="2809" max="2809" width="8" style="128" customWidth="1"/>
    <col min="2810" max="2810" width="9.28515625" style="128" bestFit="1" customWidth="1"/>
    <col min="2811" max="2811" width="10.5703125" style="128" customWidth="1"/>
    <col min="2812" max="2813" width="9.28515625" style="128" bestFit="1" customWidth="1"/>
    <col min="2814" max="2814" width="10.42578125" style="128" customWidth="1"/>
    <col min="2815" max="2815" width="8.85546875" style="128" customWidth="1"/>
    <col min="2816" max="2816" width="7.7109375" style="128" customWidth="1"/>
    <col min="2817" max="2817" width="9" style="128" customWidth="1"/>
    <col min="2818" max="2818" width="11" style="128" customWidth="1"/>
    <col min="2819" max="2819" width="8.5703125" style="128" customWidth="1"/>
    <col min="2820" max="2820" width="10.7109375" style="128" customWidth="1"/>
    <col min="2821" max="2821" width="9.42578125" style="128" bestFit="1" customWidth="1"/>
    <col min="2822" max="3049" width="9.140625" style="128"/>
    <col min="3050" max="3050" width="31.140625" style="128" customWidth="1"/>
    <col min="3051" max="3052" width="9.85546875" style="128" customWidth="1"/>
    <col min="3053" max="3053" width="10.28515625" style="128" customWidth="1"/>
    <col min="3054" max="3054" width="11.42578125" style="128" customWidth="1"/>
    <col min="3055" max="3055" width="10.28515625" style="128" customWidth="1"/>
    <col min="3056" max="3057" width="9.140625" style="128"/>
    <col min="3058" max="3058" width="10.42578125" style="128" customWidth="1"/>
    <col min="3059" max="3059" width="8.7109375" style="128" customWidth="1"/>
    <col min="3060" max="3060" width="8.42578125" style="128" customWidth="1"/>
    <col min="3061" max="3063" width="9.28515625" style="128" bestFit="1" customWidth="1"/>
    <col min="3064" max="3064" width="8.140625" style="128" customWidth="1"/>
    <col min="3065" max="3065" width="8" style="128" customWidth="1"/>
    <col min="3066" max="3066" width="9.28515625" style="128" bestFit="1" customWidth="1"/>
    <col min="3067" max="3067" width="10.5703125" style="128" customWidth="1"/>
    <col min="3068" max="3069" width="9.28515625" style="128" bestFit="1" customWidth="1"/>
    <col min="3070" max="3070" width="10.42578125" style="128" customWidth="1"/>
    <col min="3071" max="3071" width="8.85546875" style="128" customWidth="1"/>
    <col min="3072" max="3072" width="7.7109375" style="128" customWidth="1"/>
    <col min="3073" max="3073" width="9" style="128" customWidth="1"/>
    <col min="3074" max="3074" width="11" style="128" customWidth="1"/>
    <col min="3075" max="3075" width="8.5703125" style="128" customWidth="1"/>
    <col min="3076" max="3076" width="10.7109375" style="128" customWidth="1"/>
    <col min="3077" max="3077" width="9.42578125" style="128" bestFit="1" customWidth="1"/>
    <col min="3078" max="3305" width="9.140625" style="128"/>
    <col min="3306" max="3306" width="31.140625" style="128" customWidth="1"/>
    <col min="3307" max="3308" width="9.85546875" style="128" customWidth="1"/>
    <col min="3309" max="3309" width="10.28515625" style="128" customWidth="1"/>
    <col min="3310" max="3310" width="11.42578125" style="128" customWidth="1"/>
    <col min="3311" max="3311" width="10.28515625" style="128" customWidth="1"/>
    <col min="3312" max="3313" width="9.140625" style="128"/>
    <col min="3314" max="3314" width="10.42578125" style="128" customWidth="1"/>
    <col min="3315" max="3315" width="8.7109375" style="128" customWidth="1"/>
    <col min="3316" max="3316" width="8.42578125" style="128" customWidth="1"/>
    <col min="3317" max="3319" width="9.28515625" style="128" bestFit="1" customWidth="1"/>
    <col min="3320" max="3320" width="8.140625" style="128" customWidth="1"/>
    <col min="3321" max="3321" width="8" style="128" customWidth="1"/>
    <col min="3322" max="3322" width="9.28515625" style="128" bestFit="1" customWidth="1"/>
    <col min="3323" max="3323" width="10.5703125" style="128" customWidth="1"/>
    <col min="3324" max="3325" width="9.28515625" style="128" bestFit="1" customWidth="1"/>
    <col min="3326" max="3326" width="10.42578125" style="128" customWidth="1"/>
    <col min="3327" max="3327" width="8.85546875" style="128" customWidth="1"/>
    <col min="3328" max="3328" width="7.7109375" style="128" customWidth="1"/>
    <col min="3329" max="3329" width="9" style="128" customWidth="1"/>
    <col min="3330" max="3330" width="11" style="128" customWidth="1"/>
    <col min="3331" max="3331" width="8.5703125" style="128" customWidth="1"/>
    <col min="3332" max="3332" width="10.7109375" style="128" customWidth="1"/>
    <col min="3333" max="3333" width="9.42578125" style="128" bestFit="1" customWidth="1"/>
    <col min="3334" max="3561" width="9.140625" style="128"/>
    <col min="3562" max="3562" width="31.140625" style="128" customWidth="1"/>
    <col min="3563" max="3564" width="9.85546875" style="128" customWidth="1"/>
    <col min="3565" max="3565" width="10.28515625" style="128" customWidth="1"/>
    <col min="3566" max="3566" width="11.42578125" style="128" customWidth="1"/>
    <col min="3567" max="3567" width="10.28515625" style="128" customWidth="1"/>
    <col min="3568" max="3569" width="9.140625" style="128"/>
    <col min="3570" max="3570" width="10.42578125" style="128" customWidth="1"/>
    <col min="3571" max="3571" width="8.7109375" style="128" customWidth="1"/>
    <col min="3572" max="3572" width="8.42578125" style="128" customWidth="1"/>
    <col min="3573" max="3575" width="9.28515625" style="128" bestFit="1" customWidth="1"/>
    <col min="3576" max="3576" width="8.140625" style="128" customWidth="1"/>
    <col min="3577" max="3577" width="8" style="128" customWidth="1"/>
    <col min="3578" max="3578" width="9.28515625" style="128" bestFit="1" customWidth="1"/>
    <col min="3579" max="3579" width="10.5703125" style="128" customWidth="1"/>
    <col min="3580" max="3581" width="9.28515625" style="128" bestFit="1" customWidth="1"/>
    <col min="3582" max="3582" width="10.42578125" style="128" customWidth="1"/>
    <col min="3583" max="3583" width="8.85546875" style="128" customWidth="1"/>
    <col min="3584" max="3584" width="7.7109375" style="128" customWidth="1"/>
    <col min="3585" max="3585" width="9" style="128" customWidth="1"/>
    <col min="3586" max="3586" width="11" style="128" customWidth="1"/>
    <col min="3587" max="3587" width="8.5703125" style="128" customWidth="1"/>
    <col min="3588" max="3588" width="10.7109375" style="128" customWidth="1"/>
    <col min="3589" max="3589" width="9.42578125" style="128" bestFit="1" customWidth="1"/>
    <col min="3590" max="3817" width="9.140625" style="128"/>
    <col min="3818" max="3818" width="31.140625" style="128" customWidth="1"/>
    <col min="3819" max="3820" width="9.85546875" style="128" customWidth="1"/>
    <col min="3821" max="3821" width="10.28515625" style="128" customWidth="1"/>
    <col min="3822" max="3822" width="11.42578125" style="128" customWidth="1"/>
    <col min="3823" max="3823" width="10.28515625" style="128" customWidth="1"/>
    <col min="3824" max="3825" width="9.140625" style="128"/>
    <col min="3826" max="3826" width="10.42578125" style="128" customWidth="1"/>
    <col min="3827" max="3827" width="8.7109375" style="128" customWidth="1"/>
    <col min="3828" max="3828" width="8.42578125" style="128" customWidth="1"/>
    <col min="3829" max="3831" width="9.28515625" style="128" bestFit="1" customWidth="1"/>
    <col min="3832" max="3832" width="8.140625" style="128" customWidth="1"/>
    <col min="3833" max="3833" width="8" style="128" customWidth="1"/>
    <col min="3834" max="3834" width="9.28515625" style="128" bestFit="1" customWidth="1"/>
    <col min="3835" max="3835" width="10.5703125" style="128" customWidth="1"/>
    <col min="3836" max="3837" width="9.28515625" style="128" bestFit="1" customWidth="1"/>
    <col min="3838" max="3838" width="10.42578125" style="128" customWidth="1"/>
    <col min="3839" max="3839" width="8.85546875" style="128" customWidth="1"/>
    <col min="3840" max="3840" width="7.7109375" style="128" customWidth="1"/>
    <col min="3841" max="3841" width="9" style="128" customWidth="1"/>
    <col min="3842" max="3842" width="11" style="128" customWidth="1"/>
    <col min="3843" max="3843" width="8.5703125" style="128" customWidth="1"/>
    <col min="3844" max="3844" width="10.7109375" style="128" customWidth="1"/>
    <col min="3845" max="3845" width="9.42578125" style="128" bestFit="1" customWidth="1"/>
    <col min="3846" max="4073" width="9.140625" style="128"/>
    <col min="4074" max="4074" width="31.140625" style="128" customWidth="1"/>
    <col min="4075" max="4076" width="9.85546875" style="128" customWidth="1"/>
    <col min="4077" max="4077" width="10.28515625" style="128" customWidth="1"/>
    <col min="4078" max="4078" width="11.42578125" style="128" customWidth="1"/>
    <col min="4079" max="4079" width="10.28515625" style="128" customWidth="1"/>
    <col min="4080" max="4081" width="9.140625" style="128"/>
    <col min="4082" max="4082" width="10.42578125" style="128" customWidth="1"/>
    <col min="4083" max="4083" width="8.7109375" style="128" customWidth="1"/>
    <col min="4084" max="4084" width="8.42578125" style="128" customWidth="1"/>
    <col min="4085" max="4087" width="9.28515625" style="128" bestFit="1" customWidth="1"/>
    <col min="4088" max="4088" width="8.140625" style="128" customWidth="1"/>
    <col min="4089" max="4089" width="8" style="128" customWidth="1"/>
    <col min="4090" max="4090" width="9.28515625" style="128" bestFit="1" customWidth="1"/>
    <col min="4091" max="4091" width="10.5703125" style="128" customWidth="1"/>
    <col min="4092" max="4093" width="9.28515625" style="128" bestFit="1" customWidth="1"/>
    <col min="4094" max="4094" width="10.42578125" style="128" customWidth="1"/>
    <col min="4095" max="4095" width="8.85546875" style="128" customWidth="1"/>
    <col min="4096" max="4096" width="7.7109375" style="128" customWidth="1"/>
    <col min="4097" max="4097" width="9" style="128" customWidth="1"/>
    <col min="4098" max="4098" width="11" style="128" customWidth="1"/>
    <col min="4099" max="4099" width="8.5703125" style="128" customWidth="1"/>
    <col min="4100" max="4100" width="10.7109375" style="128" customWidth="1"/>
    <col min="4101" max="4101" width="9.42578125" style="128" bestFit="1" customWidth="1"/>
    <col min="4102" max="4329" width="9.140625" style="128"/>
    <col min="4330" max="4330" width="31.140625" style="128" customWidth="1"/>
    <col min="4331" max="4332" width="9.85546875" style="128" customWidth="1"/>
    <col min="4333" max="4333" width="10.28515625" style="128" customWidth="1"/>
    <col min="4334" max="4334" width="11.42578125" style="128" customWidth="1"/>
    <col min="4335" max="4335" width="10.28515625" style="128" customWidth="1"/>
    <col min="4336" max="4337" width="9.140625" style="128"/>
    <col min="4338" max="4338" width="10.42578125" style="128" customWidth="1"/>
    <col min="4339" max="4339" width="8.7109375" style="128" customWidth="1"/>
    <col min="4340" max="4340" width="8.42578125" style="128" customWidth="1"/>
    <col min="4341" max="4343" width="9.28515625" style="128" bestFit="1" customWidth="1"/>
    <col min="4344" max="4344" width="8.140625" style="128" customWidth="1"/>
    <col min="4345" max="4345" width="8" style="128" customWidth="1"/>
    <col min="4346" max="4346" width="9.28515625" style="128" bestFit="1" customWidth="1"/>
    <col min="4347" max="4347" width="10.5703125" style="128" customWidth="1"/>
    <col min="4348" max="4349" width="9.28515625" style="128" bestFit="1" customWidth="1"/>
    <col min="4350" max="4350" width="10.42578125" style="128" customWidth="1"/>
    <col min="4351" max="4351" width="8.85546875" style="128" customWidth="1"/>
    <col min="4352" max="4352" width="7.7109375" style="128" customWidth="1"/>
    <col min="4353" max="4353" width="9" style="128" customWidth="1"/>
    <col min="4354" max="4354" width="11" style="128" customWidth="1"/>
    <col min="4355" max="4355" width="8.5703125" style="128" customWidth="1"/>
    <col min="4356" max="4356" width="10.7109375" style="128" customWidth="1"/>
    <col min="4357" max="4357" width="9.42578125" style="128" bestFit="1" customWidth="1"/>
    <col min="4358" max="4585" width="9.140625" style="128"/>
    <col min="4586" max="4586" width="31.140625" style="128" customWidth="1"/>
    <col min="4587" max="4588" width="9.85546875" style="128" customWidth="1"/>
    <col min="4589" max="4589" width="10.28515625" style="128" customWidth="1"/>
    <col min="4590" max="4590" width="11.42578125" style="128" customWidth="1"/>
    <col min="4591" max="4591" width="10.28515625" style="128" customWidth="1"/>
    <col min="4592" max="4593" width="9.140625" style="128"/>
    <col min="4594" max="4594" width="10.42578125" style="128" customWidth="1"/>
    <col min="4595" max="4595" width="8.7109375" style="128" customWidth="1"/>
    <col min="4596" max="4596" width="8.42578125" style="128" customWidth="1"/>
    <col min="4597" max="4599" width="9.28515625" style="128" bestFit="1" customWidth="1"/>
    <col min="4600" max="4600" width="8.140625" style="128" customWidth="1"/>
    <col min="4601" max="4601" width="8" style="128" customWidth="1"/>
    <col min="4602" max="4602" width="9.28515625" style="128" bestFit="1" customWidth="1"/>
    <col min="4603" max="4603" width="10.5703125" style="128" customWidth="1"/>
    <col min="4604" max="4605" width="9.28515625" style="128" bestFit="1" customWidth="1"/>
    <col min="4606" max="4606" width="10.42578125" style="128" customWidth="1"/>
    <col min="4607" max="4607" width="8.85546875" style="128" customWidth="1"/>
    <col min="4608" max="4608" width="7.7109375" style="128" customWidth="1"/>
    <col min="4609" max="4609" width="9" style="128" customWidth="1"/>
    <col min="4610" max="4610" width="11" style="128" customWidth="1"/>
    <col min="4611" max="4611" width="8.5703125" style="128" customWidth="1"/>
    <col min="4612" max="4612" width="10.7109375" style="128" customWidth="1"/>
    <col min="4613" max="4613" width="9.42578125" style="128" bestFit="1" customWidth="1"/>
    <col min="4614" max="4841" width="9.140625" style="128"/>
    <col min="4842" max="4842" width="31.140625" style="128" customWidth="1"/>
    <col min="4843" max="4844" width="9.85546875" style="128" customWidth="1"/>
    <col min="4845" max="4845" width="10.28515625" style="128" customWidth="1"/>
    <col min="4846" max="4846" width="11.42578125" style="128" customWidth="1"/>
    <col min="4847" max="4847" width="10.28515625" style="128" customWidth="1"/>
    <col min="4848" max="4849" width="9.140625" style="128"/>
    <col min="4850" max="4850" width="10.42578125" style="128" customWidth="1"/>
    <col min="4851" max="4851" width="8.7109375" style="128" customWidth="1"/>
    <col min="4852" max="4852" width="8.42578125" style="128" customWidth="1"/>
    <col min="4853" max="4855" width="9.28515625" style="128" bestFit="1" customWidth="1"/>
    <col min="4856" max="4856" width="8.140625" style="128" customWidth="1"/>
    <col min="4857" max="4857" width="8" style="128" customWidth="1"/>
    <col min="4858" max="4858" width="9.28515625" style="128" bestFit="1" customWidth="1"/>
    <col min="4859" max="4859" width="10.5703125" style="128" customWidth="1"/>
    <col min="4860" max="4861" width="9.28515625" style="128" bestFit="1" customWidth="1"/>
    <col min="4862" max="4862" width="10.42578125" style="128" customWidth="1"/>
    <col min="4863" max="4863" width="8.85546875" style="128" customWidth="1"/>
    <col min="4864" max="4864" width="7.7109375" style="128" customWidth="1"/>
    <col min="4865" max="4865" width="9" style="128" customWidth="1"/>
    <col min="4866" max="4866" width="11" style="128" customWidth="1"/>
    <col min="4867" max="4867" width="8.5703125" style="128" customWidth="1"/>
    <col min="4868" max="4868" width="10.7109375" style="128" customWidth="1"/>
    <col min="4869" max="4869" width="9.42578125" style="128" bestFit="1" customWidth="1"/>
    <col min="4870" max="5097" width="9.140625" style="128"/>
    <col min="5098" max="5098" width="31.140625" style="128" customWidth="1"/>
    <col min="5099" max="5100" width="9.85546875" style="128" customWidth="1"/>
    <col min="5101" max="5101" width="10.28515625" style="128" customWidth="1"/>
    <col min="5102" max="5102" width="11.42578125" style="128" customWidth="1"/>
    <col min="5103" max="5103" width="10.28515625" style="128" customWidth="1"/>
    <col min="5104" max="5105" width="9.140625" style="128"/>
    <col min="5106" max="5106" width="10.42578125" style="128" customWidth="1"/>
    <col min="5107" max="5107" width="8.7109375" style="128" customWidth="1"/>
    <col min="5108" max="5108" width="8.42578125" style="128" customWidth="1"/>
    <col min="5109" max="5111" width="9.28515625" style="128" bestFit="1" customWidth="1"/>
    <col min="5112" max="5112" width="8.140625" style="128" customWidth="1"/>
    <col min="5113" max="5113" width="8" style="128" customWidth="1"/>
    <col min="5114" max="5114" width="9.28515625" style="128" bestFit="1" customWidth="1"/>
    <col min="5115" max="5115" width="10.5703125" style="128" customWidth="1"/>
    <col min="5116" max="5117" width="9.28515625" style="128" bestFit="1" customWidth="1"/>
    <col min="5118" max="5118" width="10.42578125" style="128" customWidth="1"/>
    <col min="5119" max="5119" width="8.85546875" style="128" customWidth="1"/>
    <col min="5120" max="5120" width="7.7109375" style="128" customWidth="1"/>
    <col min="5121" max="5121" width="9" style="128" customWidth="1"/>
    <col min="5122" max="5122" width="11" style="128" customWidth="1"/>
    <col min="5123" max="5123" width="8.5703125" style="128" customWidth="1"/>
    <col min="5124" max="5124" width="10.7109375" style="128" customWidth="1"/>
    <col min="5125" max="5125" width="9.42578125" style="128" bestFit="1" customWidth="1"/>
    <col min="5126" max="5353" width="9.140625" style="128"/>
    <col min="5354" max="5354" width="31.140625" style="128" customWidth="1"/>
    <col min="5355" max="5356" width="9.85546875" style="128" customWidth="1"/>
    <col min="5357" max="5357" width="10.28515625" style="128" customWidth="1"/>
    <col min="5358" max="5358" width="11.42578125" style="128" customWidth="1"/>
    <col min="5359" max="5359" width="10.28515625" style="128" customWidth="1"/>
    <col min="5360" max="5361" width="9.140625" style="128"/>
    <col min="5362" max="5362" width="10.42578125" style="128" customWidth="1"/>
    <col min="5363" max="5363" width="8.7109375" style="128" customWidth="1"/>
    <col min="5364" max="5364" width="8.42578125" style="128" customWidth="1"/>
    <col min="5365" max="5367" width="9.28515625" style="128" bestFit="1" customWidth="1"/>
    <col min="5368" max="5368" width="8.140625" style="128" customWidth="1"/>
    <col min="5369" max="5369" width="8" style="128" customWidth="1"/>
    <col min="5370" max="5370" width="9.28515625" style="128" bestFit="1" customWidth="1"/>
    <col min="5371" max="5371" width="10.5703125" style="128" customWidth="1"/>
    <col min="5372" max="5373" width="9.28515625" style="128" bestFit="1" customWidth="1"/>
    <col min="5374" max="5374" width="10.42578125" style="128" customWidth="1"/>
    <col min="5375" max="5375" width="8.85546875" style="128" customWidth="1"/>
    <col min="5376" max="5376" width="7.7109375" style="128" customWidth="1"/>
    <col min="5377" max="5377" width="9" style="128" customWidth="1"/>
    <col min="5378" max="5378" width="11" style="128" customWidth="1"/>
    <col min="5379" max="5379" width="8.5703125" style="128" customWidth="1"/>
    <col min="5380" max="5380" width="10.7109375" style="128" customWidth="1"/>
    <col min="5381" max="5381" width="9.42578125" style="128" bestFit="1" customWidth="1"/>
    <col min="5382" max="5609" width="9.140625" style="128"/>
    <col min="5610" max="5610" width="31.140625" style="128" customWidth="1"/>
    <col min="5611" max="5612" width="9.85546875" style="128" customWidth="1"/>
    <col min="5613" max="5613" width="10.28515625" style="128" customWidth="1"/>
    <col min="5614" max="5614" width="11.42578125" style="128" customWidth="1"/>
    <col min="5615" max="5615" width="10.28515625" style="128" customWidth="1"/>
    <col min="5616" max="5617" width="9.140625" style="128"/>
    <col min="5618" max="5618" width="10.42578125" style="128" customWidth="1"/>
    <col min="5619" max="5619" width="8.7109375" style="128" customWidth="1"/>
    <col min="5620" max="5620" width="8.42578125" style="128" customWidth="1"/>
    <col min="5621" max="5623" width="9.28515625" style="128" bestFit="1" customWidth="1"/>
    <col min="5624" max="5624" width="8.140625" style="128" customWidth="1"/>
    <col min="5625" max="5625" width="8" style="128" customWidth="1"/>
    <col min="5626" max="5626" width="9.28515625" style="128" bestFit="1" customWidth="1"/>
    <col min="5627" max="5627" width="10.5703125" style="128" customWidth="1"/>
    <col min="5628" max="5629" width="9.28515625" style="128" bestFit="1" customWidth="1"/>
    <col min="5630" max="5630" width="10.42578125" style="128" customWidth="1"/>
    <col min="5631" max="5631" width="8.85546875" style="128" customWidth="1"/>
    <col min="5632" max="5632" width="7.7109375" style="128" customWidth="1"/>
    <col min="5633" max="5633" width="9" style="128" customWidth="1"/>
    <col min="5634" max="5634" width="11" style="128" customWidth="1"/>
    <col min="5635" max="5635" width="8.5703125" style="128" customWidth="1"/>
    <col min="5636" max="5636" width="10.7109375" style="128" customWidth="1"/>
    <col min="5637" max="5637" width="9.42578125" style="128" bestFit="1" customWidth="1"/>
    <col min="5638" max="5865" width="9.140625" style="128"/>
    <col min="5866" max="5866" width="31.140625" style="128" customWidth="1"/>
    <col min="5867" max="5868" width="9.85546875" style="128" customWidth="1"/>
    <col min="5869" max="5869" width="10.28515625" style="128" customWidth="1"/>
    <col min="5870" max="5870" width="11.42578125" style="128" customWidth="1"/>
    <col min="5871" max="5871" width="10.28515625" style="128" customWidth="1"/>
    <col min="5872" max="5873" width="9.140625" style="128"/>
    <col min="5874" max="5874" width="10.42578125" style="128" customWidth="1"/>
    <col min="5875" max="5875" width="8.7109375" style="128" customWidth="1"/>
    <col min="5876" max="5876" width="8.42578125" style="128" customWidth="1"/>
    <col min="5877" max="5879" width="9.28515625" style="128" bestFit="1" customWidth="1"/>
    <col min="5880" max="5880" width="8.140625" style="128" customWidth="1"/>
    <col min="5881" max="5881" width="8" style="128" customWidth="1"/>
    <col min="5882" max="5882" width="9.28515625" style="128" bestFit="1" customWidth="1"/>
    <col min="5883" max="5883" width="10.5703125" style="128" customWidth="1"/>
    <col min="5884" max="5885" width="9.28515625" style="128" bestFit="1" customWidth="1"/>
    <col min="5886" max="5886" width="10.42578125" style="128" customWidth="1"/>
    <col min="5887" max="5887" width="8.85546875" style="128" customWidth="1"/>
    <col min="5888" max="5888" width="7.7109375" style="128" customWidth="1"/>
    <col min="5889" max="5889" width="9" style="128" customWidth="1"/>
    <col min="5890" max="5890" width="11" style="128" customWidth="1"/>
    <col min="5891" max="5891" width="8.5703125" style="128" customWidth="1"/>
    <col min="5892" max="5892" width="10.7109375" style="128" customWidth="1"/>
    <col min="5893" max="5893" width="9.42578125" style="128" bestFit="1" customWidth="1"/>
    <col min="5894" max="6121" width="9.140625" style="128"/>
    <col min="6122" max="6122" width="31.140625" style="128" customWidth="1"/>
    <col min="6123" max="6124" width="9.85546875" style="128" customWidth="1"/>
    <col min="6125" max="6125" width="10.28515625" style="128" customWidth="1"/>
    <col min="6126" max="6126" width="11.42578125" style="128" customWidth="1"/>
    <col min="6127" max="6127" width="10.28515625" style="128" customWidth="1"/>
    <col min="6128" max="6129" width="9.140625" style="128"/>
    <col min="6130" max="6130" width="10.42578125" style="128" customWidth="1"/>
    <col min="6131" max="6131" width="8.7109375" style="128" customWidth="1"/>
    <col min="6132" max="6132" width="8.42578125" style="128" customWidth="1"/>
    <col min="6133" max="6135" width="9.28515625" style="128" bestFit="1" customWidth="1"/>
    <col min="6136" max="6136" width="8.140625" style="128" customWidth="1"/>
    <col min="6137" max="6137" width="8" style="128" customWidth="1"/>
    <col min="6138" max="6138" width="9.28515625" style="128" bestFit="1" customWidth="1"/>
    <col min="6139" max="6139" width="10.5703125" style="128" customWidth="1"/>
    <col min="6140" max="6141" width="9.28515625" style="128" bestFit="1" customWidth="1"/>
    <col min="6142" max="6142" width="10.42578125" style="128" customWidth="1"/>
    <col min="6143" max="6143" width="8.85546875" style="128" customWidth="1"/>
    <col min="6144" max="6144" width="7.7109375" style="128" customWidth="1"/>
    <col min="6145" max="6145" width="9" style="128" customWidth="1"/>
    <col min="6146" max="6146" width="11" style="128" customWidth="1"/>
    <col min="6147" max="6147" width="8.5703125" style="128" customWidth="1"/>
    <col min="6148" max="6148" width="10.7109375" style="128" customWidth="1"/>
    <col min="6149" max="6149" width="9.42578125" style="128" bestFit="1" customWidth="1"/>
    <col min="6150" max="6377" width="9.140625" style="128"/>
    <col min="6378" max="6378" width="31.140625" style="128" customWidth="1"/>
    <col min="6379" max="6380" width="9.85546875" style="128" customWidth="1"/>
    <col min="6381" max="6381" width="10.28515625" style="128" customWidth="1"/>
    <col min="6382" max="6382" width="11.42578125" style="128" customWidth="1"/>
    <col min="6383" max="6383" width="10.28515625" style="128" customWidth="1"/>
    <col min="6384" max="6385" width="9.140625" style="128"/>
    <col min="6386" max="6386" width="10.42578125" style="128" customWidth="1"/>
    <col min="6387" max="6387" width="8.7109375" style="128" customWidth="1"/>
    <col min="6388" max="6388" width="8.42578125" style="128" customWidth="1"/>
    <col min="6389" max="6391" width="9.28515625" style="128" bestFit="1" customWidth="1"/>
    <col min="6392" max="6392" width="8.140625" style="128" customWidth="1"/>
    <col min="6393" max="6393" width="8" style="128" customWidth="1"/>
    <col min="6394" max="6394" width="9.28515625" style="128" bestFit="1" customWidth="1"/>
    <col min="6395" max="6395" width="10.5703125" style="128" customWidth="1"/>
    <col min="6396" max="6397" width="9.28515625" style="128" bestFit="1" customWidth="1"/>
    <col min="6398" max="6398" width="10.42578125" style="128" customWidth="1"/>
    <col min="6399" max="6399" width="8.85546875" style="128" customWidth="1"/>
    <col min="6400" max="6400" width="7.7109375" style="128" customWidth="1"/>
    <col min="6401" max="6401" width="9" style="128" customWidth="1"/>
    <col min="6402" max="6402" width="11" style="128" customWidth="1"/>
    <col min="6403" max="6403" width="8.5703125" style="128" customWidth="1"/>
    <col min="6404" max="6404" width="10.7109375" style="128" customWidth="1"/>
    <col min="6405" max="6405" width="9.42578125" style="128" bestFit="1" customWidth="1"/>
    <col min="6406" max="6633" width="9.140625" style="128"/>
    <col min="6634" max="6634" width="31.140625" style="128" customWidth="1"/>
    <col min="6635" max="6636" width="9.85546875" style="128" customWidth="1"/>
    <col min="6637" max="6637" width="10.28515625" style="128" customWidth="1"/>
    <col min="6638" max="6638" width="11.42578125" style="128" customWidth="1"/>
    <col min="6639" max="6639" width="10.28515625" style="128" customWidth="1"/>
    <col min="6640" max="6641" width="9.140625" style="128"/>
    <col min="6642" max="6642" width="10.42578125" style="128" customWidth="1"/>
    <col min="6643" max="6643" width="8.7109375" style="128" customWidth="1"/>
    <col min="6644" max="6644" width="8.42578125" style="128" customWidth="1"/>
    <col min="6645" max="6647" width="9.28515625" style="128" bestFit="1" customWidth="1"/>
    <col min="6648" max="6648" width="8.140625" style="128" customWidth="1"/>
    <col min="6649" max="6649" width="8" style="128" customWidth="1"/>
    <col min="6650" max="6650" width="9.28515625" style="128" bestFit="1" customWidth="1"/>
    <col min="6651" max="6651" width="10.5703125" style="128" customWidth="1"/>
    <col min="6652" max="6653" width="9.28515625" style="128" bestFit="1" customWidth="1"/>
    <col min="6654" max="6654" width="10.42578125" style="128" customWidth="1"/>
    <col min="6655" max="6655" width="8.85546875" style="128" customWidth="1"/>
    <col min="6656" max="6656" width="7.7109375" style="128" customWidth="1"/>
    <col min="6657" max="6657" width="9" style="128" customWidth="1"/>
    <col min="6658" max="6658" width="11" style="128" customWidth="1"/>
    <col min="6659" max="6659" width="8.5703125" style="128" customWidth="1"/>
    <col min="6660" max="6660" width="10.7109375" style="128" customWidth="1"/>
    <col min="6661" max="6661" width="9.42578125" style="128" bestFit="1" customWidth="1"/>
    <col min="6662" max="6889" width="9.140625" style="128"/>
    <col min="6890" max="6890" width="31.140625" style="128" customWidth="1"/>
    <col min="6891" max="6892" width="9.85546875" style="128" customWidth="1"/>
    <col min="6893" max="6893" width="10.28515625" style="128" customWidth="1"/>
    <col min="6894" max="6894" width="11.42578125" style="128" customWidth="1"/>
    <col min="6895" max="6895" width="10.28515625" style="128" customWidth="1"/>
    <col min="6896" max="6897" width="9.140625" style="128"/>
    <col min="6898" max="6898" width="10.42578125" style="128" customWidth="1"/>
    <col min="6899" max="6899" width="8.7109375" style="128" customWidth="1"/>
    <col min="6900" max="6900" width="8.42578125" style="128" customWidth="1"/>
    <col min="6901" max="6903" width="9.28515625" style="128" bestFit="1" customWidth="1"/>
    <col min="6904" max="6904" width="8.140625" style="128" customWidth="1"/>
    <col min="6905" max="6905" width="8" style="128" customWidth="1"/>
    <col min="6906" max="6906" width="9.28515625" style="128" bestFit="1" customWidth="1"/>
    <col min="6907" max="6907" width="10.5703125" style="128" customWidth="1"/>
    <col min="6908" max="6909" width="9.28515625" style="128" bestFit="1" customWidth="1"/>
    <col min="6910" max="6910" width="10.42578125" style="128" customWidth="1"/>
    <col min="6911" max="6911" width="8.85546875" style="128" customWidth="1"/>
    <col min="6912" max="6912" width="7.7109375" style="128" customWidth="1"/>
    <col min="6913" max="6913" width="9" style="128" customWidth="1"/>
    <col min="6914" max="6914" width="11" style="128" customWidth="1"/>
    <col min="6915" max="6915" width="8.5703125" style="128" customWidth="1"/>
    <col min="6916" max="6916" width="10.7109375" style="128" customWidth="1"/>
    <col min="6917" max="6917" width="9.42578125" style="128" bestFit="1" customWidth="1"/>
    <col min="6918" max="7145" width="9.140625" style="128"/>
    <col min="7146" max="7146" width="31.140625" style="128" customWidth="1"/>
    <col min="7147" max="7148" width="9.85546875" style="128" customWidth="1"/>
    <col min="7149" max="7149" width="10.28515625" style="128" customWidth="1"/>
    <col min="7150" max="7150" width="11.42578125" style="128" customWidth="1"/>
    <col min="7151" max="7151" width="10.28515625" style="128" customWidth="1"/>
    <col min="7152" max="7153" width="9.140625" style="128"/>
    <col min="7154" max="7154" width="10.42578125" style="128" customWidth="1"/>
    <col min="7155" max="7155" width="8.7109375" style="128" customWidth="1"/>
    <col min="7156" max="7156" width="8.42578125" style="128" customWidth="1"/>
    <col min="7157" max="7159" width="9.28515625" style="128" bestFit="1" customWidth="1"/>
    <col min="7160" max="7160" width="8.140625" style="128" customWidth="1"/>
    <col min="7161" max="7161" width="8" style="128" customWidth="1"/>
    <col min="7162" max="7162" width="9.28515625" style="128" bestFit="1" customWidth="1"/>
    <col min="7163" max="7163" width="10.5703125" style="128" customWidth="1"/>
    <col min="7164" max="7165" width="9.28515625" style="128" bestFit="1" customWidth="1"/>
    <col min="7166" max="7166" width="10.42578125" style="128" customWidth="1"/>
    <col min="7167" max="7167" width="8.85546875" style="128" customWidth="1"/>
    <col min="7168" max="7168" width="7.7109375" style="128" customWidth="1"/>
    <col min="7169" max="7169" width="9" style="128" customWidth="1"/>
    <col min="7170" max="7170" width="11" style="128" customWidth="1"/>
    <col min="7171" max="7171" width="8.5703125" style="128" customWidth="1"/>
    <col min="7172" max="7172" width="10.7109375" style="128" customWidth="1"/>
    <col min="7173" max="7173" width="9.42578125" style="128" bestFit="1" customWidth="1"/>
    <col min="7174" max="7401" width="9.140625" style="128"/>
    <col min="7402" max="7402" width="31.140625" style="128" customWidth="1"/>
    <col min="7403" max="7404" width="9.85546875" style="128" customWidth="1"/>
    <col min="7405" max="7405" width="10.28515625" style="128" customWidth="1"/>
    <col min="7406" max="7406" width="11.42578125" style="128" customWidth="1"/>
    <col min="7407" max="7407" width="10.28515625" style="128" customWidth="1"/>
    <col min="7408" max="7409" width="9.140625" style="128"/>
    <col min="7410" max="7410" width="10.42578125" style="128" customWidth="1"/>
    <col min="7411" max="7411" width="8.7109375" style="128" customWidth="1"/>
    <col min="7412" max="7412" width="8.42578125" style="128" customWidth="1"/>
    <col min="7413" max="7415" width="9.28515625" style="128" bestFit="1" customWidth="1"/>
    <col min="7416" max="7416" width="8.140625" style="128" customWidth="1"/>
    <col min="7417" max="7417" width="8" style="128" customWidth="1"/>
    <col min="7418" max="7418" width="9.28515625" style="128" bestFit="1" customWidth="1"/>
    <col min="7419" max="7419" width="10.5703125" style="128" customWidth="1"/>
    <col min="7420" max="7421" width="9.28515625" style="128" bestFit="1" customWidth="1"/>
    <col min="7422" max="7422" width="10.42578125" style="128" customWidth="1"/>
    <col min="7423" max="7423" width="8.85546875" style="128" customWidth="1"/>
    <col min="7424" max="7424" width="7.7109375" style="128" customWidth="1"/>
    <col min="7425" max="7425" width="9" style="128" customWidth="1"/>
    <col min="7426" max="7426" width="11" style="128" customWidth="1"/>
    <col min="7427" max="7427" width="8.5703125" style="128" customWidth="1"/>
    <col min="7428" max="7428" width="10.7109375" style="128" customWidth="1"/>
    <col min="7429" max="7429" width="9.42578125" style="128" bestFit="1" customWidth="1"/>
    <col min="7430" max="7657" width="9.140625" style="128"/>
    <col min="7658" max="7658" width="31.140625" style="128" customWidth="1"/>
    <col min="7659" max="7660" width="9.85546875" style="128" customWidth="1"/>
    <col min="7661" max="7661" width="10.28515625" style="128" customWidth="1"/>
    <col min="7662" max="7662" width="11.42578125" style="128" customWidth="1"/>
    <col min="7663" max="7663" width="10.28515625" style="128" customWidth="1"/>
    <col min="7664" max="7665" width="9.140625" style="128"/>
    <col min="7666" max="7666" width="10.42578125" style="128" customWidth="1"/>
    <col min="7667" max="7667" width="8.7109375" style="128" customWidth="1"/>
    <col min="7668" max="7668" width="8.42578125" style="128" customWidth="1"/>
    <col min="7669" max="7671" width="9.28515625" style="128" bestFit="1" customWidth="1"/>
    <col min="7672" max="7672" width="8.140625" style="128" customWidth="1"/>
    <col min="7673" max="7673" width="8" style="128" customWidth="1"/>
    <col min="7674" max="7674" width="9.28515625" style="128" bestFit="1" customWidth="1"/>
    <col min="7675" max="7675" width="10.5703125" style="128" customWidth="1"/>
    <col min="7676" max="7677" width="9.28515625" style="128" bestFit="1" customWidth="1"/>
    <col min="7678" max="7678" width="10.42578125" style="128" customWidth="1"/>
    <col min="7679" max="7679" width="8.85546875" style="128" customWidth="1"/>
    <col min="7680" max="7680" width="7.7109375" style="128" customWidth="1"/>
    <col min="7681" max="7681" width="9" style="128" customWidth="1"/>
    <col min="7682" max="7682" width="11" style="128" customWidth="1"/>
    <col min="7683" max="7683" width="8.5703125" style="128" customWidth="1"/>
    <col min="7684" max="7684" width="10.7109375" style="128" customWidth="1"/>
    <col min="7685" max="7685" width="9.42578125" style="128" bestFit="1" customWidth="1"/>
    <col min="7686" max="7913" width="9.140625" style="128"/>
    <col min="7914" max="7914" width="31.140625" style="128" customWidth="1"/>
    <col min="7915" max="7916" width="9.85546875" style="128" customWidth="1"/>
    <col min="7917" max="7917" width="10.28515625" style="128" customWidth="1"/>
    <col min="7918" max="7918" width="11.42578125" style="128" customWidth="1"/>
    <col min="7919" max="7919" width="10.28515625" style="128" customWidth="1"/>
    <col min="7920" max="7921" width="9.140625" style="128"/>
    <col min="7922" max="7922" width="10.42578125" style="128" customWidth="1"/>
    <col min="7923" max="7923" width="8.7109375" style="128" customWidth="1"/>
    <col min="7924" max="7924" width="8.42578125" style="128" customWidth="1"/>
    <col min="7925" max="7927" width="9.28515625" style="128" bestFit="1" customWidth="1"/>
    <col min="7928" max="7928" width="8.140625" style="128" customWidth="1"/>
    <col min="7929" max="7929" width="8" style="128" customWidth="1"/>
    <col min="7930" max="7930" width="9.28515625" style="128" bestFit="1" customWidth="1"/>
    <col min="7931" max="7931" width="10.5703125" style="128" customWidth="1"/>
    <col min="7932" max="7933" width="9.28515625" style="128" bestFit="1" customWidth="1"/>
    <col min="7934" max="7934" width="10.42578125" style="128" customWidth="1"/>
    <col min="7935" max="7935" width="8.85546875" style="128" customWidth="1"/>
    <col min="7936" max="7936" width="7.7109375" style="128" customWidth="1"/>
    <col min="7937" max="7937" width="9" style="128" customWidth="1"/>
    <col min="7938" max="7938" width="11" style="128" customWidth="1"/>
    <col min="7939" max="7939" width="8.5703125" style="128" customWidth="1"/>
    <col min="7940" max="7940" width="10.7109375" style="128" customWidth="1"/>
    <col min="7941" max="7941" width="9.42578125" style="128" bestFit="1" customWidth="1"/>
    <col min="7942" max="8169" width="9.140625" style="128"/>
    <col min="8170" max="8170" width="31.140625" style="128" customWidth="1"/>
    <col min="8171" max="8172" width="9.85546875" style="128" customWidth="1"/>
    <col min="8173" max="8173" width="10.28515625" style="128" customWidth="1"/>
    <col min="8174" max="8174" width="11.42578125" style="128" customWidth="1"/>
    <col min="8175" max="8175" width="10.28515625" style="128" customWidth="1"/>
    <col min="8176" max="8177" width="9.140625" style="128"/>
    <col min="8178" max="8178" width="10.42578125" style="128" customWidth="1"/>
    <col min="8179" max="8179" width="8.7109375" style="128" customWidth="1"/>
    <col min="8180" max="8180" width="8.42578125" style="128" customWidth="1"/>
    <col min="8181" max="8183" width="9.28515625" style="128" bestFit="1" customWidth="1"/>
    <col min="8184" max="8184" width="8.140625" style="128" customWidth="1"/>
    <col min="8185" max="8185" width="8" style="128" customWidth="1"/>
    <col min="8186" max="8186" width="9.28515625" style="128" bestFit="1" customWidth="1"/>
    <col min="8187" max="8187" width="10.5703125" style="128" customWidth="1"/>
    <col min="8188" max="8189" width="9.28515625" style="128" bestFit="1" customWidth="1"/>
    <col min="8190" max="8190" width="10.42578125" style="128" customWidth="1"/>
    <col min="8191" max="8191" width="8.85546875" style="128" customWidth="1"/>
    <col min="8192" max="8192" width="7.7109375" style="128" customWidth="1"/>
    <col min="8193" max="8193" width="9" style="128" customWidth="1"/>
    <col min="8194" max="8194" width="11" style="128" customWidth="1"/>
    <col min="8195" max="8195" width="8.5703125" style="128" customWidth="1"/>
    <col min="8196" max="8196" width="10.7109375" style="128" customWidth="1"/>
    <col min="8197" max="8197" width="9.42578125" style="128" bestFit="1" customWidth="1"/>
    <col min="8198" max="8425" width="9.140625" style="128"/>
    <col min="8426" max="8426" width="31.140625" style="128" customWidth="1"/>
    <col min="8427" max="8428" width="9.85546875" style="128" customWidth="1"/>
    <col min="8429" max="8429" width="10.28515625" style="128" customWidth="1"/>
    <col min="8430" max="8430" width="11.42578125" style="128" customWidth="1"/>
    <col min="8431" max="8431" width="10.28515625" style="128" customWidth="1"/>
    <col min="8432" max="8433" width="9.140625" style="128"/>
    <col min="8434" max="8434" width="10.42578125" style="128" customWidth="1"/>
    <col min="8435" max="8435" width="8.7109375" style="128" customWidth="1"/>
    <col min="8436" max="8436" width="8.42578125" style="128" customWidth="1"/>
    <col min="8437" max="8439" width="9.28515625" style="128" bestFit="1" customWidth="1"/>
    <col min="8440" max="8440" width="8.140625" style="128" customWidth="1"/>
    <col min="8441" max="8441" width="8" style="128" customWidth="1"/>
    <col min="8442" max="8442" width="9.28515625" style="128" bestFit="1" customWidth="1"/>
    <col min="8443" max="8443" width="10.5703125" style="128" customWidth="1"/>
    <col min="8444" max="8445" width="9.28515625" style="128" bestFit="1" customWidth="1"/>
    <col min="8446" max="8446" width="10.42578125" style="128" customWidth="1"/>
    <col min="8447" max="8447" width="8.85546875" style="128" customWidth="1"/>
    <col min="8448" max="8448" width="7.7109375" style="128" customWidth="1"/>
    <col min="8449" max="8449" width="9" style="128" customWidth="1"/>
    <col min="8450" max="8450" width="11" style="128" customWidth="1"/>
    <col min="8451" max="8451" width="8.5703125" style="128" customWidth="1"/>
    <col min="8452" max="8452" width="10.7109375" style="128" customWidth="1"/>
    <col min="8453" max="8453" width="9.42578125" style="128" bestFit="1" customWidth="1"/>
    <col min="8454" max="8681" width="9.140625" style="128"/>
    <col min="8682" max="8682" width="31.140625" style="128" customWidth="1"/>
    <col min="8683" max="8684" width="9.85546875" style="128" customWidth="1"/>
    <col min="8685" max="8685" width="10.28515625" style="128" customWidth="1"/>
    <col min="8686" max="8686" width="11.42578125" style="128" customWidth="1"/>
    <col min="8687" max="8687" width="10.28515625" style="128" customWidth="1"/>
    <col min="8688" max="8689" width="9.140625" style="128"/>
    <col min="8690" max="8690" width="10.42578125" style="128" customWidth="1"/>
    <col min="8691" max="8691" width="8.7109375" style="128" customWidth="1"/>
    <col min="8692" max="8692" width="8.42578125" style="128" customWidth="1"/>
    <col min="8693" max="8695" width="9.28515625" style="128" bestFit="1" customWidth="1"/>
    <col min="8696" max="8696" width="8.140625" style="128" customWidth="1"/>
    <col min="8697" max="8697" width="8" style="128" customWidth="1"/>
    <col min="8698" max="8698" width="9.28515625" style="128" bestFit="1" customWidth="1"/>
    <col min="8699" max="8699" width="10.5703125" style="128" customWidth="1"/>
    <col min="8700" max="8701" width="9.28515625" style="128" bestFit="1" customWidth="1"/>
    <col min="8702" max="8702" width="10.42578125" style="128" customWidth="1"/>
    <col min="8703" max="8703" width="8.85546875" style="128" customWidth="1"/>
    <col min="8704" max="8704" width="7.7109375" style="128" customWidth="1"/>
    <col min="8705" max="8705" width="9" style="128" customWidth="1"/>
    <col min="8706" max="8706" width="11" style="128" customWidth="1"/>
    <col min="8707" max="8707" width="8.5703125" style="128" customWidth="1"/>
    <col min="8708" max="8708" width="10.7109375" style="128" customWidth="1"/>
    <col min="8709" max="8709" width="9.42578125" style="128" bestFit="1" customWidth="1"/>
    <col min="8710" max="8937" width="9.140625" style="128"/>
    <col min="8938" max="8938" width="31.140625" style="128" customWidth="1"/>
    <col min="8939" max="8940" width="9.85546875" style="128" customWidth="1"/>
    <col min="8941" max="8941" width="10.28515625" style="128" customWidth="1"/>
    <col min="8942" max="8942" width="11.42578125" style="128" customWidth="1"/>
    <col min="8943" max="8943" width="10.28515625" style="128" customWidth="1"/>
    <col min="8944" max="8945" width="9.140625" style="128"/>
    <col min="8946" max="8946" width="10.42578125" style="128" customWidth="1"/>
    <col min="8947" max="8947" width="8.7109375" style="128" customWidth="1"/>
    <col min="8948" max="8948" width="8.42578125" style="128" customWidth="1"/>
    <col min="8949" max="8951" width="9.28515625" style="128" bestFit="1" customWidth="1"/>
    <col min="8952" max="8952" width="8.140625" style="128" customWidth="1"/>
    <col min="8953" max="8953" width="8" style="128" customWidth="1"/>
    <col min="8954" max="8954" width="9.28515625" style="128" bestFit="1" customWidth="1"/>
    <col min="8955" max="8955" width="10.5703125" style="128" customWidth="1"/>
    <col min="8956" max="8957" width="9.28515625" style="128" bestFit="1" customWidth="1"/>
    <col min="8958" max="8958" width="10.42578125" style="128" customWidth="1"/>
    <col min="8959" max="8959" width="8.85546875" style="128" customWidth="1"/>
    <col min="8960" max="8960" width="7.7109375" style="128" customWidth="1"/>
    <col min="8961" max="8961" width="9" style="128" customWidth="1"/>
    <col min="8962" max="8962" width="11" style="128" customWidth="1"/>
    <col min="8963" max="8963" width="8.5703125" style="128" customWidth="1"/>
    <col min="8964" max="8964" width="10.7109375" style="128" customWidth="1"/>
    <col min="8965" max="8965" width="9.42578125" style="128" bestFit="1" customWidth="1"/>
    <col min="8966" max="9193" width="9.140625" style="128"/>
    <col min="9194" max="9194" width="31.140625" style="128" customWidth="1"/>
    <col min="9195" max="9196" width="9.85546875" style="128" customWidth="1"/>
    <col min="9197" max="9197" width="10.28515625" style="128" customWidth="1"/>
    <col min="9198" max="9198" width="11.42578125" style="128" customWidth="1"/>
    <col min="9199" max="9199" width="10.28515625" style="128" customWidth="1"/>
    <col min="9200" max="9201" width="9.140625" style="128"/>
    <col min="9202" max="9202" width="10.42578125" style="128" customWidth="1"/>
    <col min="9203" max="9203" width="8.7109375" style="128" customWidth="1"/>
    <col min="9204" max="9204" width="8.42578125" style="128" customWidth="1"/>
    <col min="9205" max="9207" width="9.28515625" style="128" bestFit="1" customWidth="1"/>
    <col min="9208" max="9208" width="8.140625" style="128" customWidth="1"/>
    <col min="9209" max="9209" width="8" style="128" customWidth="1"/>
    <col min="9210" max="9210" width="9.28515625" style="128" bestFit="1" customWidth="1"/>
    <col min="9211" max="9211" width="10.5703125" style="128" customWidth="1"/>
    <col min="9212" max="9213" width="9.28515625" style="128" bestFit="1" customWidth="1"/>
    <col min="9214" max="9214" width="10.42578125" style="128" customWidth="1"/>
    <col min="9215" max="9215" width="8.85546875" style="128" customWidth="1"/>
    <col min="9216" max="9216" width="7.7109375" style="128" customWidth="1"/>
    <col min="9217" max="9217" width="9" style="128" customWidth="1"/>
    <col min="9218" max="9218" width="11" style="128" customWidth="1"/>
    <col min="9219" max="9219" width="8.5703125" style="128" customWidth="1"/>
    <col min="9220" max="9220" width="10.7109375" style="128" customWidth="1"/>
    <col min="9221" max="9221" width="9.42578125" style="128" bestFit="1" customWidth="1"/>
    <col min="9222" max="9449" width="9.140625" style="128"/>
    <col min="9450" max="9450" width="31.140625" style="128" customWidth="1"/>
    <col min="9451" max="9452" width="9.85546875" style="128" customWidth="1"/>
    <col min="9453" max="9453" width="10.28515625" style="128" customWidth="1"/>
    <col min="9454" max="9454" width="11.42578125" style="128" customWidth="1"/>
    <col min="9455" max="9455" width="10.28515625" style="128" customWidth="1"/>
    <col min="9456" max="9457" width="9.140625" style="128"/>
    <col min="9458" max="9458" width="10.42578125" style="128" customWidth="1"/>
    <col min="9459" max="9459" width="8.7109375" style="128" customWidth="1"/>
    <col min="9460" max="9460" width="8.42578125" style="128" customWidth="1"/>
    <col min="9461" max="9463" width="9.28515625" style="128" bestFit="1" customWidth="1"/>
    <col min="9464" max="9464" width="8.140625" style="128" customWidth="1"/>
    <col min="9465" max="9465" width="8" style="128" customWidth="1"/>
    <col min="9466" max="9466" width="9.28515625" style="128" bestFit="1" customWidth="1"/>
    <col min="9467" max="9467" width="10.5703125" style="128" customWidth="1"/>
    <col min="9468" max="9469" width="9.28515625" style="128" bestFit="1" customWidth="1"/>
    <col min="9470" max="9470" width="10.42578125" style="128" customWidth="1"/>
    <col min="9471" max="9471" width="8.85546875" style="128" customWidth="1"/>
    <col min="9472" max="9472" width="7.7109375" style="128" customWidth="1"/>
    <col min="9473" max="9473" width="9" style="128" customWidth="1"/>
    <col min="9474" max="9474" width="11" style="128" customWidth="1"/>
    <col min="9475" max="9475" width="8.5703125" style="128" customWidth="1"/>
    <col min="9476" max="9476" width="10.7109375" style="128" customWidth="1"/>
    <col min="9477" max="9477" width="9.42578125" style="128" bestFit="1" customWidth="1"/>
    <col min="9478" max="9705" width="9.140625" style="128"/>
    <col min="9706" max="9706" width="31.140625" style="128" customWidth="1"/>
    <col min="9707" max="9708" width="9.85546875" style="128" customWidth="1"/>
    <col min="9709" max="9709" width="10.28515625" style="128" customWidth="1"/>
    <col min="9710" max="9710" width="11.42578125" style="128" customWidth="1"/>
    <col min="9711" max="9711" width="10.28515625" style="128" customWidth="1"/>
    <col min="9712" max="9713" width="9.140625" style="128"/>
    <col min="9714" max="9714" width="10.42578125" style="128" customWidth="1"/>
    <col min="9715" max="9715" width="8.7109375" style="128" customWidth="1"/>
    <col min="9716" max="9716" width="8.42578125" style="128" customWidth="1"/>
    <col min="9717" max="9719" width="9.28515625" style="128" bestFit="1" customWidth="1"/>
    <col min="9720" max="9720" width="8.140625" style="128" customWidth="1"/>
    <col min="9721" max="9721" width="8" style="128" customWidth="1"/>
    <col min="9722" max="9722" width="9.28515625" style="128" bestFit="1" customWidth="1"/>
    <col min="9723" max="9723" width="10.5703125" style="128" customWidth="1"/>
    <col min="9724" max="9725" width="9.28515625" style="128" bestFit="1" customWidth="1"/>
    <col min="9726" max="9726" width="10.42578125" style="128" customWidth="1"/>
    <col min="9727" max="9727" width="8.85546875" style="128" customWidth="1"/>
    <col min="9728" max="9728" width="7.7109375" style="128" customWidth="1"/>
    <col min="9729" max="9729" width="9" style="128" customWidth="1"/>
    <col min="9730" max="9730" width="11" style="128" customWidth="1"/>
    <col min="9731" max="9731" width="8.5703125" style="128" customWidth="1"/>
    <col min="9732" max="9732" width="10.7109375" style="128" customWidth="1"/>
    <col min="9733" max="9733" width="9.42578125" style="128" bestFit="1" customWidth="1"/>
    <col min="9734" max="9961" width="9.140625" style="128"/>
    <col min="9962" max="9962" width="31.140625" style="128" customWidth="1"/>
    <col min="9963" max="9964" width="9.85546875" style="128" customWidth="1"/>
    <col min="9965" max="9965" width="10.28515625" style="128" customWidth="1"/>
    <col min="9966" max="9966" width="11.42578125" style="128" customWidth="1"/>
    <col min="9967" max="9967" width="10.28515625" style="128" customWidth="1"/>
    <col min="9968" max="9969" width="9.140625" style="128"/>
    <col min="9970" max="9970" width="10.42578125" style="128" customWidth="1"/>
    <col min="9971" max="9971" width="8.7109375" style="128" customWidth="1"/>
    <col min="9972" max="9972" width="8.42578125" style="128" customWidth="1"/>
    <col min="9973" max="9975" width="9.28515625" style="128" bestFit="1" customWidth="1"/>
    <col min="9976" max="9976" width="8.140625" style="128" customWidth="1"/>
    <col min="9977" max="9977" width="8" style="128" customWidth="1"/>
    <col min="9978" max="9978" width="9.28515625" style="128" bestFit="1" customWidth="1"/>
    <col min="9979" max="9979" width="10.5703125" style="128" customWidth="1"/>
    <col min="9980" max="9981" width="9.28515625" style="128" bestFit="1" customWidth="1"/>
    <col min="9982" max="9982" width="10.42578125" style="128" customWidth="1"/>
    <col min="9983" max="9983" width="8.85546875" style="128" customWidth="1"/>
    <col min="9984" max="9984" width="7.7109375" style="128" customWidth="1"/>
    <col min="9985" max="9985" width="9" style="128" customWidth="1"/>
    <col min="9986" max="9986" width="11" style="128" customWidth="1"/>
    <col min="9987" max="9987" width="8.5703125" style="128" customWidth="1"/>
    <col min="9988" max="9988" width="10.7109375" style="128" customWidth="1"/>
    <col min="9989" max="9989" width="9.42578125" style="128" bestFit="1" customWidth="1"/>
    <col min="9990" max="10217" width="9.140625" style="128"/>
    <col min="10218" max="10218" width="31.140625" style="128" customWidth="1"/>
    <col min="10219" max="10220" width="9.85546875" style="128" customWidth="1"/>
    <col min="10221" max="10221" width="10.28515625" style="128" customWidth="1"/>
    <col min="10222" max="10222" width="11.42578125" style="128" customWidth="1"/>
    <col min="10223" max="10223" width="10.28515625" style="128" customWidth="1"/>
    <col min="10224" max="10225" width="9.140625" style="128"/>
    <col min="10226" max="10226" width="10.42578125" style="128" customWidth="1"/>
    <col min="10227" max="10227" width="8.7109375" style="128" customWidth="1"/>
    <col min="10228" max="10228" width="8.42578125" style="128" customWidth="1"/>
    <col min="10229" max="10231" width="9.28515625" style="128" bestFit="1" customWidth="1"/>
    <col min="10232" max="10232" width="8.140625" style="128" customWidth="1"/>
    <col min="10233" max="10233" width="8" style="128" customWidth="1"/>
    <col min="10234" max="10234" width="9.28515625" style="128" bestFit="1" customWidth="1"/>
    <col min="10235" max="10235" width="10.5703125" style="128" customWidth="1"/>
    <col min="10236" max="10237" width="9.28515625" style="128" bestFit="1" customWidth="1"/>
    <col min="10238" max="10238" width="10.42578125" style="128" customWidth="1"/>
    <col min="10239" max="10239" width="8.85546875" style="128" customWidth="1"/>
    <col min="10240" max="10240" width="7.7109375" style="128" customWidth="1"/>
    <col min="10241" max="10241" width="9" style="128" customWidth="1"/>
    <col min="10242" max="10242" width="11" style="128" customWidth="1"/>
    <col min="10243" max="10243" width="8.5703125" style="128" customWidth="1"/>
    <col min="10244" max="10244" width="10.7109375" style="128" customWidth="1"/>
    <col min="10245" max="10245" width="9.42578125" style="128" bestFit="1" customWidth="1"/>
    <col min="10246" max="10473" width="9.140625" style="128"/>
    <col min="10474" max="10474" width="31.140625" style="128" customWidth="1"/>
    <col min="10475" max="10476" width="9.85546875" style="128" customWidth="1"/>
    <col min="10477" max="10477" width="10.28515625" style="128" customWidth="1"/>
    <col min="10478" max="10478" width="11.42578125" style="128" customWidth="1"/>
    <col min="10479" max="10479" width="10.28515625" style="128" customWidth="1"/>
    <col min="10480" max="10481" width="9.140625" style="128"/>
    <col min="10482" max="10482" width="10.42578125" style="128" customWidth="1"/>
    <col min="10483" max="10483" width="8.7109375" style="128" customWidth="1"/>
    <col min="10484" max="10484" width="8.42578125" style="128" customWidth="1"/>
    <col min="10485" max="10487" width="9.28515625" style="128" bestFit="1" customWidth="1"/>
    <col min="10488" max="10488" width="8.140625" style="128" customWidth="1"/>
    <col min="10489" max="10489" width="8" style="128" customWidth="1"/>
    <col min="10490" max="10490" width="9.28515625" style="128" bestFit="1" customWidth="1"/>
    <col min="10491" max="10491" width="10.5703125" style="128" customWidth="1"/>
    <col min="10492" max="10493" width="9.28515625" style="128" bestFit="1" customWidth="1"/>
    <col min="10494" max="10494" width="10.42578125" style="128" customWidth="1"/>
    <col min="10495" max="10495" width="8.85546875" style="128" customWidth="1"/>
    <col min="10496" max="10496" width="7.7109375" style="128" customWidth="1"/>
    <col min="10497" max="10497" width="9" style="128" customWidth="1"/>
    <col min="10498" max="10498" width="11" style="128" customWidth="1"/>
    <col min="10499" max="10499" width="8.5703125" style="128" customWidth="1"/>
    <col min="10500" max="10500" width="10.7109375" style="128" customWidth="1"/>
    <col min="10501" max="10501" width="9.42578125" style="128" bestFit="1" customWidth="1"/>
    <col min="10502" max="10729" width="9.140625" style="128"/>
    <col min="10730" max="10730" width="31.140625" style="128" customWidth="1"/>
    <col min="10731" max="10732" width="9.85546875" style="128" customWidth="1"/>
    <col min="10733" max="10733" width="10.28515625" style="128" customWidth="1"/>
    <col min="10734" max="10734" width="11.42578125" style="128" customWidth="1"/>
    <col min="10735" max="10735" width="10.28515625" style="128" customWidth="1"/>
    <col min="10736" max="10737" width="9.140625" style="128"/>
    <col min="10738" max="10738" width="10.42578125" style="128" customWidth="1"/>
    <col min="10739" max="10739" width="8.7109375" style="128" customWidth="1"/>
    <col min="10740" max="10740" width="8.42578125" style="128" customWidth="1"/>
    <col min="10741" max="10743" width="9.28515625" style="128" bestFit="1" customWidth="1"/>
    <col min="10744" max="10744" width="8.140625" style="128" customWidth="1"/>
    <col min="10745" max="10745" width="8" style="128" customWidth="1"/>
    <col min="10746" max="10746" width="9.28515625" style="128" bestFit="1" customWidth="1"/>
    <col min="10747" max="10747" width="10.5703125" style="128" customWidth="1"/>
    <col min="10748" max="10749" width="9.28515625" style="128" bestFit="1" customWidth="1"/>
    <col min="10750" max="10750" width="10.42578125" style="128" customWidth="1"/>
    <col min="10751" max="10751" width="8.85546875" style="128" customWidth="1"/>
    <col min="10752" max="10752" width="7.7109375" style="128" customWidth="1"/>
    <col min="10753" max="10753" width="9" style="128" customWidth="1"/>
    <col min="10754" max="10754" width="11" style="128" customWidth="1"/>
    <col min="10755" max="10755" width="8.5703125" style="128" customWidth="1"/>
    <col min="10756" max="10756" width="10.7109375" style="128" customWidth="1"/>
    <col min="10757" max="10757" width="9.42578125" style="128" bestFit="1" customWidth="1"/>
    <col min="10758" max="10985" width="9.140625" style="128"/>
    <col min="10986" max="10986" width="31.140625" style="128" customWidth="1"/>
    <col min="10987" max="10988" width="9.85546875" style="128" customWidth="1"/>
    <col min="10989" max="10989" width="10.28515625" style="128" customWidth="1"/>
    <col min="10990" max="10990" width="11.42578125" style="128" customWidth="1"/>
    <col min="10991" max="10991" width="10.28515625" style="128" customWidth="1"/>
    <col min="10992" max="10993" width="9.140625" style="128"/>
    <col min="10994" max="10994" width="10.42578125" style="128" customWidth="1"/>
    <col min="10995" max="10995" width="8.7109375" style="128" customWidth="1"/>
    <col min="10996" max="10996" width="8.42578125" style="128" customWidth="1"/>
    <col min="10997" max="10999" width="9.28515625" style="128" bestFit="1" customWidth="1"/>
    <col min="11000" max="11000" width="8.140625" style="128" customWidth="1"/>
    <col min="11001" max="11001" width="8" style="128" customWidth="1"/>
    <col min="11002" max="11002" width="9.28515625" style="128" bestFit="1" customWidth="1"/>
    <col min="11003" max="11003" width="10.5703125" style="128" customWidth="1"/>
    <col min="11004" max="11005" width="9.28515625" style="128" bestFit="1" customWidth="1"/>
    <col min="11006" max="11006" width="10.42578125" style="128" customWidth="1"/>
    <col min="11007" max="11007" width="8.85546875" style="128" customWidth="1"/>
    <col min="11008" max="11008" width="7.7109375" style="128" customWidth="1"/>
    <col min="11009" max="11009" width="9" style="128" customWidth="1"/>
    <col min="11010" max="11010" width="11" style="128" customWidth="1"/>
    <col min="11011" max="11011" width="8.5703125" style="128" customWidth="1"/>
    <col min="11012" max="11012" width="10.7109375" style="128" customWidth="1"/>
    <col min="11013" max="11013" width="9.42578125" style="128" bestFit="1" customWidth="1"/>
    <col min="11014" max="11241" width="9.140625" style="128"/>
    <col min="11242" max="11242" width="31.140625" style="128" customWidth="1"/>
    <col min="11243" max="11244" width="9.85546875" style="128" customWidth="1"/>
    <col min="11245" max="11245" width="10.28515625" style="128" customWidth="1"/>
    <col min="11246" max="11246" width="11.42578125" style="128" customWidth="1"/>
    <col min="11247" max="11247" width="10.28515625" style="128" customWidth="1"/>
    <col min="11248" max="11249" width="9.140625" style="128"/>
    <col min="11250" max="11250" width="10.42578125" style="128" customWidth="1"/>
    <col min="11251" max="11251" width="8.7109375" style="128" customWidth="1"/>
    <col min="11252" max="11252" width="8.42578125" style="128" customWidth="1"/>
    <col min="11253" max="11255" width="9.28515625" style="128" bestFit="1" customWidth="1"/>
    <col min="11256" max="11256" width="8.140625" style="128" customWidth="1"/>
    <col min="11257" max="11257" width="8" style="128" customWidth="1"/>
    <col min="11258" max="11258" width="9.28515625" style="128" bestFit="1" customWidth="1"/>
    <col min="11259" max="11259" width="10.5703125" style="128" customWidth="1"/>
    <col min="11260" max="11261" width="9.28515625" style="128" bestFit="1" customWidth="1"/>
    <col min="11262" max="11262" width="10.42578125" style="128" customWidth="1"/>
    <col min="11263" max="11263" width="8.85546875" style="128" customWidth="1"/>
    <col min="11264" max="11264" width="7.7109375" style="128" customWidth="1"/>
    <col min="11265" max="11265" width="9" style="128" customWidth="1"/>
    <col min="11266" max="11266" width="11" style="128" customWidth="1"/>
    <col min="11267" max="11267" width="8.5703125" style="128" customWidth="1"/>
    <col min="11268" max="11268" width="10.7109375" style="128" customWidth="1"/>
    <col min="11269" max="11269" width="9.42578125" style="128" bestFit="1" customWidth="1"/>
    <col min="11270" max="11497" width="9.140625" style="128"/>
    <col min="11498" max="11498" width="31.140625" style="128" customWidth="1"/>
    <col min="11499" max="11500" width="9.85546875" style="128" customWidth="1"/>
    <col min="11501" max="11501" width="10.28515625" style="128" customWidth="1"/>
    <col min="11502" max="11502" width="11.42578125" style="128" customWidth="1"/>
    <col min="11503" max="11503" width="10.28515625" style="128" customWidth="1"/>
    <col min="11504" max="11505" width="9.140625" style="128"/>
    <col min="11506" max="11506" width="10.42578125" style="128" customWidth="1"/>
    <col min="11507" max="11507" width="8.7109375" style="128" customWidth="1"/>
    <col min="11508" max="11508" width="8.42578125" style="128" customWidth="1"/>
    <col min="11509" max="11511" width="9.28515625" style="128" bestFit="1" customWidth="1"/>
    <col min="11512" max="11512" width="8.140625" style="128" customWidth="1"/>
    <col min="11513" max="11513" width="8" style="128" customWidth="1"/>
    <col min="11514" max="11514" width="9.28515625" style="128" bestFit="1" customWidth="1"/>
    <col min="11515" max="11515" width="10.5703125" style="128" customWidth="1"/>
    <col min="11516" max="11517" width="9.28515625" style="128" bestFit="1" customWidth="1"/>
    <col min="11518" max="11518" width="10.42578125" style="128" customWidth="1"/>
    <col min="11519" max="11519" width="8.85546875" style="128" customWidth="1"/>
    <col min="11520" max="11520" width="7.7109375" style="128" customWidth="1"/>
    <col min="11521" max="11521" width="9" style="128" customWidth="1"/>
    <col min="11522" max="11522" width="11" style="128" customWidth="1"/>
    <col min="11523" max="11523" width="8.5703125" style="128" customWidth="1"/>
    <col min="11524" max="11524" width="10.7109375" style="128" customWidth="1"/>
    <col min="11525" max="11525" width="9.42578125" style="128" bestFit="1" customWidth="1"/>
    <col min="11526" max="11753" width="9.140625" style="128"/>
    <col min="11754" max="11754" width="31.140625" style="128" customWidth="1"/>
    <col min="11755" max="11756" width="9.85546875" style="128" customWidth="1"/>
    <col min="11757" max="11757" width="10.28515625" style="128" customWidth="1"/>
    <col min="11758" max="11758" width="11.42578125" style="128" customWidth="1"/>
    <col min="11759" max="11759" width="10.28515625" style="128" customWidth="1"/>
    <col min="11760" max="11761" width="9.140625" style="128"/>
    <col min="11762" max="11762" width="10.42578125" style="128" customWidth="1"/>
    <col min="11763" max="11763" width="8.7109375" style="128" customWidth="1"/>
    <col min="11764" max="11764" width="8.42578125" style="128" customWidth="1"/>
    <col min="11765" max="11767" width="9.28515625" style="128" bestFit="1" customWidth="1"/>
    <col min="11768" max="11768" width="8.140625" style="128" customWidth="1"/>
    <col min="11769" max="11769" width="8" style="128" customWidth="1"/>
    <col min="11770" max="11770" width="9.28515625" style="128" bestFit="1" customWidth="1"/>
    <col min="11771" max="11771" width="10.5703125" style="128" customWidth="1"/>
    <col min="11772" max="11773" width="9.28515625" style="128" bestFit="1" customWidth="1"/>
    <col min="11774" max="11774" width="10.42578125" style="128" customWidth="1"/>
    <col min="11775" max="11775" width="8.85546875" style="128" customWidth="1"/>
    <col min="11776" max="11776" width="7.7109375" style="128" customWidth="1"/>
    <col min="11777" max="11777" width="9" style="128" customWidth="1"/>
    <col min="11778" max="11778" width="11" style="128" customWidth="1"/>
    <col min="11779" max="11779" width="8.5703125" style="128" customWidth="1"/>
    <col min="11780" max="11780" width="10.7109375" style="128" customWidth="1"/>
    <col min="11781" max="11781" width="9.42578125" style="128" bestFit="1" customWidth="1"/>
    <col min="11782" max="12009" width="9.140625" style="128"/>
    <col min="12010" max="12010" width="31.140625" style="128" customWidth="1"/>
    <col min="12011" max="12012" width="9.85546875" style="128" customWidth="1"/>
    <col min="12013" max="12013" width="10.28515625" style="128" customWidth="1"/>
    <col min="12014" max="12014" width="11.42578125" style="128" customWidth="1"/>
    <col min="12015" max="12015" width="10.28515625" style="128" customWidth="1"/>
    <col min="12016" max="12017" width="9.140625" style="128"/>
    <col min="12018" max="12018" width="10.42578125" style="128" customWidth="1"/>
    <col min="12019" max="12019" width="8.7109375" style="128" customWidth="1"/>
    <col min="12020" max="12020" width="8.42578125" style="128" customWidth="1"/>
    <col min="12021" max="12023" width="9.28515625" style="128" bestFit="1" customWidth="1"/>
    <col min="12024" max="12024" width="8.140625" style="128" customWidth="1"/>
    <col min="12025" max="12025" width="8" style="128" customWidth="1"/>
    <col min="12026" max="12026" width="9.28515625" style="128" bestFit="1" customWidth="1"/>
    <col min="12027" max="12027" width="10.5703125" style="128" customWidth="1"/>
    <col min="12028" max="12029" width="9.28515625" style="128" bestFit="1" customWidth="1"/>
    <col min="12030" max="12030" width="10.42578125" style="128" customWidth="1"/>
    <col min="12031" max="12031" width="8.85546875" style="128" customWidth="1"/>
    <col min="12032" max="12032" width="7.7109375" style="128" customWidth="1"/>
    <col min="12033" max="12033" width="9" style="128" customWidth="1"/>
    <col min="12034" max="12034" width="11" style="128" customWidth="1"/>
    <col min="12035" max="12035" width="8.5703125" style="128" customWidth="1"/>
    <col min="12036" max="12036" width="10.7109375" style="128" customWidth="1"/>
    <col min="12037" max="12037" width="9.42578125" style="128" bestFit="1" customWidth="1"/>
    <col min="12038" max="12265" width="9.140625" style="128"/>
    <col min="12266" max="12266" width="31.140625" style="128" customWidth="1"/>
    <col min="12267" max="12268" width="9.85546875" style="128" customWidth="1"/>
    <col min="12269" max="12269" width="10.28515625" style="128" customWidth="1"/>
    <col min="12270" max="12270" width="11.42578125" style="128" customWidth="1"/>
    <col min="12271" max="12271" width="10.28515625" style="128" customWidth="1"/>
    <col min="12272" max="12273" width="9.140625" style="128"/>
    <col min="12274" max="12274" width="10.42578125" style="128" customWidth="1"/>
    <col min="12275" max="12275" width="8.7109375" style="128" customWidth="1"/>
    <col min="12276" max="12276" width="8.42578125" style="128" customWidth="1"/>
    <col min="12277" max="12279" width="9.28515625" style="128" bestFit="1" customWidth="1"/>
    <col min="12280" max="12280" width="8.140625" style="128" customWidth="1"/>
    <col min="12281" max="12281" width="8" style="128" customWidth="1"/>
    <col min="12282" max="12282" width="9.28515625" style="128" bestFit="1" customWidth="1"/>
    <col min="12283" max="12283" width="10.5703125" style="128" customWidth="1"/>
    <col min="12284" max="12285" width="9.28515625" style="128" bestFit="1" customWidth="1"/>
    <col min="12286" max="12286" width="10.42578125" style="128" customWidth="1"/>
    <col min="12287" max="12287" width="8.85546875" style="128" customWidth="1"/>
    <col min="12288" max="12288" width="7.7109375" style="128" customWidth="1"/>
    <col min="12289" max="12289" width="9" style="128" customWidth="1"/>
    <col min="12290" max="12290" width="11" style="128" customWidth="1"/>
    <col min="12291" max="12291" width="8.5703125" style="128" customWidth="1"/>
    <col min="12292" max="12292" width="10.7109375" style="128" customWidth="1"/>
    <col min="12293" max="12293" width="9.42578125" style="128" bestFit="1" customWidth="1"/>
    <col min="12294" max="12521" width="9.140625" style="128"/>
    <col min="12522" max="12522" width="31.140625" style="128" customWidth="1"/>
    <col min="12523" max="12524" width="9.85546875" style="128" customWidth="1"/>
    <col min="12525" max="12525" width="10.28515625" style="128" customWidth="1"/>
    <col min="12526" max="12526" width="11.42578125" style="128" customWidth="1"/>
    <col min="12527" max="12527" width="10.28515625" style="128" customWidth="1"/>
    <col min="12528" max="12529" width="9.140625" style="128"/>
    <col min="12530" max="12530" width="10.42578125" style="128" customWidth="1"/>
    <col min="12531" max="12531" width="8.7109375" style="128" customWidth="1"/>
    <col min="12532" max="12532" width="8.42578125" style="128" customWidth="1"/>
    <col min="12533" max="12535" width="9.28515625" style="128" bestFit="1" customWidth="1"/>
    <col min="12536" max="12536" width="8.140625" style="128" customWidth="1"/>
    <col min="12537" max="12537" width="8" style="128" customWidth="1"/>
    <col min="12538" max="12538" width="9.28515625" style="128" bestFit="1" customWidth="1"/>
    <col min="12539" max="12539" width="10.5703125" style="128" customWidth="1"/>
    <col min="12540" max="12541" width="9.28515625" style="128" bestFit="1" customWidth="1"/>
    <col min="12542" max="12542" width="10.42578125" style="128" customWidth="1"/>
    <col min="12543" max="12543" width="8.85546875" style="128" customWidth="1"/>
    <col min="12544" max="12544" width="7.7109375" style="128" customWidth="1"/>
    <col min="12545" max="12545" width="9" style="128" customWidth="1"/>
    <col min="12546" max="12546" width="11" style="128" customWidth="1"/>
    <col min="12547" max="12547" width="8.5703125" style="128" customWidth="1"/>
    <col min="12548" max="12548" width="10.7109375" style="128" customWidth="1"/>
    <col min="12549" max="12549" width="9.42578125" style="128" bestFit="1" customWidth="1"/>
    <col min="12550" max="12777" width="9.140625" style="128"/>
    <col min="12778" max="12778" width="31.140625" style="128" customWidth="1"/>
    <col min="12779" max="12780" width="9.85546875" style="128" customWidth="1"/>
    <col min="12781" max="12781" width="10.28515625" style="128" customWidth="1"/>
    <col min="12782" max="12782" width="11.42578125" style="128" customWidth="1"/>
    <col min="12783" max="12783" width="10.28515625" style="128" customWidth="1"/>
    <col min="12784" max="12785" width="9.140625" style="128"/>
    <col min="12786" max="12786" width="10.42578125" style="128" customWidth="1"/>
    <col min="12787" max="12787" width="8.7109375" style="128" customWidth="1"/>
    <col min="12788" max="12788" width="8.42578125" style="128" customWidth="1"/>
    <col min="12789" max="12791" width="9.28515625" style="128" bestFit="1" customWidth="1"/>
    <col min="12792" max="12792" width="8.140625" style="128" customWidth="1"/>
    <col min="12793" max="12793" width="8" style="128" customWidth="1"/>
    <col min="12794" max="12794" width="9.28515625" style="128" bestFit="1" customWidth="1"/>
    <col min="12795" max="12795" width="10.5703125" style="128" customWidth="1"/>
    <col min="12796" max="12797" width="9.28515625" style="128" bestFit="1" customWidth="1"/>
    <col min="12798" max="12798" width="10.42578125" style="128" customWidth="1"/>
    <col min="12799" max="12799" width="8.85546875" style="128" customWidth="1"/>
    <col min="12800" max="12800" width="7.7109375" style="128" customWidth="1"/>
    <col min="12801" max="12801" width="9" style="128" customWidth="1"/>
    <col min="12802" max="12802" width="11" style="128" customWidth="1"/>
    <col min="12803" max="12803" width="8.5703125" style="128" customWidth="1"/>
    <col min="12804" max="12804" width="10.7109375" style="128" customWidth="1"/>
    <col min="12805" max="12805" width="9.42578125" style="128" bestFit="1" customWidth="1"/>
    <col min="12806" max="13033" width="9.140625" style="128"/>
    <col min="13034" max="13034" width="31.140625" style="128" customWidth="1"/>
    <col min="13035" max="13036" width="9.85546875" style="128" customWidth="1"/>
    <col min="13037" max="13037" width="10.28515625" style="128" customWidth="1"/>
    <col min="13038" max="13038" width="11.42578125" style="128" customWidth="1"/>
    <col min="13039" max="13039" width="10.28515625" style="128" customWidth="1"/>
    <col min="13040" max="13041" width="9.140625" style="128"/>
    <col min="13042" max="13042" width="10.42578125" style="128" customWidth="1"/>
    <col min="13043" max="13043" width="8.7109375" style="128" customWidth="1"/>
    <col min="13044" max="13044" width="8.42578125" style="128" customWidth="1"/>
    <col min="13045" max="13047" width="9.28515625" style="128" bestFit="1" customWidth="1"/>
    <col min="13048" max="13048" width="8.140625" style="128" customWidth="1"/>
    <col min="13049" max="13049" width="8" style="128" customWidth="1"/>
    <col min="13050" max="13050" width="9.28515625" style="128" bestFit="1" customWidth="1"/>
    <col min="13051" max="13051" width="10.5703125" style="128" customWidth="1"/>
    <col min="13052" max="13053" width="9.28515625" style="128" bestFit="1" customWidth="1"/>
    <col min="13054" max="13054" width="10.42578125" style="128" customWidth="1"/>
    <col min="13055" max="13055" width="8.85546875" style="128" customWidth="1"/>
    <col min="13056" max="13056" width="7.7109375" style="128" customWidth="1"/>
    <col min="13057" max="13057" width="9" style="128" customWidth="1"/>
    <col min="13058" max="13058" width="11" style="128" customWidth="1"/>
    <col min="13059" max="13059" width="8.5703125" style="128" customWidth="1"/>
    <col min="13060" max="13060" width="10.7109375" style="128" customWidth="1"/>
    <col min="13061" max="13061" width="9.42578125" style="128" bestFit="1" customWidth="1"/>
    <col min="13062" max="13289" width="9.140625" style="128"/>
    <col min="13290" max="13290" width="31.140625" style="128" customWidth="1"/>
    <col min="13291" max="13292" width="9.85546875" style="128" customWidth="1"/>
    <col min="13293" max="13293" width="10.28515625" style="128" customWidth="1"/>
    <col min="13294" max="13294" width="11.42578125" style="128" customWidth="1"/>
    <col min="13295" max="13295" width="10.28515625" style="128" customWidth="1"/>
    <col min="13296" max="13297" width="9.140625" style="128"/>
    <col min="13298" max="13298" width="10.42578125" style="128" customWidth="1"/>
    <col min="13299" max="13299" width="8.7109375" style="128" customWidth="1"/>
    <col min="13300" max="13300" width="8.42578125" style="128" customWidth="1"/>
    <col min="13301" max="13303" width="9.28515625" style="128" bestFit="1" customWidth="1"/>
    <col min="13304" max="13304" width="8.140625" style="128" customWidth="1"/>
    <col min="13305" max="13305" width="8" style="128" customWidth="1"/>
    <col min="13306" max="13306" width="9.28515625" style="128" bestFit="1" customWidth="1"/>
    <col min="13307" max="13307" width="10.5703125" style="128" customWidth="1"/>
    <col min="13308" max="13309" width="9.28515625" style="128" bestFit="1" customWidth="1"/>
    <col min="13310" max="13310" width="10.42578125" style="128" customWidth="1"/>
    <col min="13311" max="13311" width="8.85546875" style="128" customWidth="1"/>
    <col min="13312" max="13312" width="7.7109375" style="128" customWidth="1"/>
    <col min="13313" max="13313" width="9" style="128" customWidth="1"/>
    <col min="13314" max="13314" width="11" style="128" customWidth="1"/>
    <col min="13315" max="13315" width="8.5703125" style="128" customWidth="1"/>
    <col min="13316" max="13316" width="10.7109375" style="128" customWidth="1"/>
    <col min="13317" max="13317" width="9.42578125" style="128" bestFit="1" customWidth="1"/>
    <col min="13318" max="13545" width="9.140625" style="128"/>
    <col min="13546" max="13546" width="31.140625" style="128" customWidth="1"/>
    <col min="13547" max="13548" width="9.85546875" style="128" customWidth="1"/>
    <col min="13549" max="13549" width="10.28515625" style="128" customWidth="1"/>
    <col min="13550" max="13550" width="11.42578125" style="128" customWidth="1"/>
    <col min="13551" max="13551" width="10.28515625" style="128" customWidth="1"/>
    <col min="13552" max="13553" width="9.140625" style="128"/>
    <col min="13554" max="13554" width="10.42578125" style="128" customWidth="1"/>
    <col min="13555" max="13555" width="8.7109375" style="128" customWidth="1"/>
    <col min="13556" max="13556" width="8.42578125" style="128" customWidth="1"/>
    <col min="13557" max="13559" width="9.28515625" style="128" bestFit="1" customWidth="1"/>
    <col min="13560" max="13560" width="8.140625" style="128" customWidth="1"/>
    <col min="13561" max="13561" width="8" style="128" customWidth="1"/>
    <col min="13562" max="13562" width="9.28515625" style="128" bestFit="1" customWidth="1"/>
    <col min="13563" max="13563" width="10.5703125" style="128" customWidth="1"/>
    <col min="13564" max="13565" width="9.28515625" style="128" bestFit="1" customWidth="1"/>
    <col min="13566" max="13566" width="10.42578125" style="128" customWidth="1"/>
    <col min="13567" max="13567" width="8.85546875" style="128" customWidth="1"/>
    <col min="13568" max="13568" width="7.7109375" style="128" customWidth="1"/>
    <col min="13569" max="13569" width="9" style="128" customWidth="1"/>
    <col min="13570" max="13570" width="11" style="128" customWidth="1"/>
    <col min="13571" max="13571" width="8.5703125" style="128" customWidth="1"/>
    <col min="13572" max="13572" width="10.7109375" style="128" customWidth="1"/>
    <col min="13573" max="13573" width="9.42578125" style="128" bestFit="1" customWidth="1"/>
    <col min="13574" max="13801" width="9.140625" style="128"/>
    <col min="13802" max="13802" width="31.140625" style="128" customWidth="1"/>
    <col min="13803" max="13804" width="9.85546875" style="128" customWidth="1"/>
    <col min="13805" max="13805" width="10.28515625" style="128" customWidth="1"/>
    <col min="13806" max="13806" width="11.42578125" style="128" customWidth="1"/>
    <col min="13807" max="13807" width="10.28515625" style="128" customWidth="1"/>
    <col min="13808" max="13809" width="9.140625" style="128"/>
    <col min="13810" max="13810" width="10.42578125" style="128" customWidth="1"/>
    <col min="13811" max="13811" width="8.7109375" style="128" customWidth="1"/>
    <col min="13812" max="13812" width="8.42578125" style="128" customWidth="1"/>
    <col min="13813" max="13815" width="9.28515625" style="128" bestFit="1" customWidth="1"/>
    <col min="13816" max="13816" width="8.140625" style="128" customWidth="1"/>
    <col min="13817" max="13817" width="8" style="128" customWidth="1"/>
    <col min="13818" max="13818" width="9.28515625" style="128" bestFit="1" customWidth="1"/>
    <col min="13819" max="13819" width="10.5703125" style="128" customWidth="1"/>
    <col min="13820" max="13821" width="9.28515625" style="128" bestFit="1" customWidth="1"/>
    <col min="13822" max="13822" width="10.42578125" style="128" customWidth="1"/>
    <col min="13823" max="13823" width="8.85546875" style="128" customWidth="1"/>
    <col min="13824" max="13824" width="7.7109375" style="128" customWidth="1"/>
    <col min="13825" max="13825" width="9" style="128" customWidth="1"/>
    <col min="13826" max="13826" width="11" style="128" customWidth="1"/>
    <col min="13827" max="13827" width="8.5703125" style="128" customWidth="1"/>
    <col min="13828" max="13828" width="10.7109375" style="128" customWidth="1"/>
    <col min="13829" max="13829" width="9.42578125" style="128" bestFit="1" customWidth="1"/>
    <col min="13830" max="14057" width="9.140625" style="128"/>
    <col min="14058" max="14058" width="31.140625" style="128" customWidth="1"/>
    <col min="14059" max="14060" width="9.85546875" style="128" customWidth="1"/>
    <col min="14061" max="14061" width="10.28515625" style="128" customWidth="1"/>
    <col min="14062" max="14062" width="11.42578125" style="128" customWidth="1"/>
    <col min="14063" max="14063" width="10.28515625" style="128" customWidth="1"/>
    <col min="14064" max="14065" width="9.140625" style="128"/>
    <col min="14066" max="14066" width="10.42578125" style="128" customWidth="1"/>
    <col min="14067" max="14067" width="8.7109375" style="128" customWidth="1"/>
    <col min="14068" max="14068" width="8.42578125" style="128" customWidth="1"/>
    <col min="14069" max="14071" width="9.28515625" style="128" bestFit="1" customWidth="1"/>
    <col min="14072" max="14072" width="8.140625" style="128" customWidth="1"/>
    <col min="14073" max="14073" width="8" style="128" customWidth="1"/>
    <col min="14074" max="14074" width="9.28515625" style="128" bestFit="1" customWidth="1"/>
    <col min="14075" max="14075" width="10.5703125" style="128" customWidth="1"/>
    <col min="14076" max="14077" width="9.28515625" style="128" bestFit="1" customWidth="1"/>
    <col min="14078" max="14078" width="10.42578125" style="128" customWidth="1"/>
    <col min="14079" max="14079" width="8.85546875" style="128" customWidth="1"/>
    <col min="14080" max="14080" width="7.7109375" style="128" customWidth="1"/>
    <col min="14081" max="14081" width="9" style="128" customWidth="1"/>
    <col min="14082" max="14082" width="11" style="128" customWidth="1"/>
    <col min="14083" max="14083" width="8.5703125" style="128" customWidth="1"/>
    <col min="14084" max="14084" width="10.7109375" style="128" customWidth="1"/>
    <col min="14085" max="14085" width="9.42578125" style="128" bestFit="1" customWidth="1"/>
    <col min="14086" max="14313" width="9.140625" style="128"/>
    <col min="14314" max="14314" width="31.140625" style="128" customWidth="1"/>
    <col min="14315" max="14316" width="9.85546875" style="128" customWidth="1"/>
    <col min="14317" max="14317" width="10.28515625" style="128" customWidth="1"/>
    <col min="14318" max="14318" width="11.42578125" style="128" customWidth="1"/>
    <col min="14319" max="14319" width="10.28515625" style="128" customWidth="1"/>
    <col min="14320" max="14321" width="9.140625" style="128"/>
    <col min="14322" max="14322" width="10.42578125" style="128" customWidth="1"/>
    <col min="14323" max="14323" width="8.7109375" style="128" customWidth="1"/>
    <col min="14324" max="14324" width="8.42578125" style="128" customWidth="1"/>
    <col min="14325" max="14327" width="9.28515625" style="128" bestFit="1" customWidth="1"/>
    <col min="14328" max="14328" width="8.140625" style="128" customWidth="1"/>
    <col min="14329" max="14329" width="8" style="128" customWidth="1"/>
    <col min="14330" max="14330" width="9.28515625" style="128" bestFit="1" customWidth="1"/>
    <col min="14331" max="14331" width="10.5703125" style="128" customWidth="1"/>
    <col min="14332" max="14333" width="9.28515625" style="128" bestFit="1" customWidth="1"/>
    <col min="14334" max="14334" width="10.42578125" style="128" customWidth="1"/>
    <col min="14335" max="14335" width="8.85546875" style="128" customWidth="1"/>
    <col min="14336" max="14336" width="7.7109375" style="128" customWidth="1"/>
    <col min="14337" max="14337" width="9" style="128" customWidth="1"/>
    <col min="14338" max="14338" width="11" style="128" customWidth="1"/>
    <col min="14339" max="14339" width="8.5703125" style="128" customWidth="1"/>
    <col min="14340" max="14340" width="10.7109375" style="128" customWidth="1"/>
    <col min="14341" max="14341" width="9.42578125" style="128" bestFit="1" customWidth="1"/>
    <col min="14342" max="14569" width="9.140625" style="128"/>
    <col min="14570" max="14570" width="31.140625" style="128" customWidth="1"/>
    <col min="14571" max="14572" width="9.85546875" style="128" customWidth="1"/>
    <col min="14573" max="14573" width="10.28515625" style="128" customWidth="1"/>
    <col min="14574" max="14574" width="11.42578125" style="128" customWidth="1"/>
    <col min="14575" max="14575" width="10.28515625" style="128" customWidth="1"/>
    <col min="14576" max="14577" width="9.140625" style="128"/>
    <col min="14578" max="14578" width="10.42578125" style="128" customWidth="1"/>
    <col min="14579" max="14579" width="8.7109375" style="128" customWidth="1"/>
    <col min="14580" max="14580" width="8.42578125" style="128" customWidth="1"/>
    <col min="14581" max="14583" width="9.28515625" style="128" bestFit="1" customWidth="1"/>
    <col min="14584" max="14584" width="8.140625" style="128" customWidth="1"/>
    <col min="14585" max="14585" width="8" style="128" customWidth="1"/>
    <col min="14586" max="14586" width="9.28515625" style="128" bestFit="1" customWidth="1"/>
    <col min="14587" max="14587" width="10.5703125" style="128" customWidth="1"/>
    <col min="14588" max="14589" width="9.28515625" style="128" bestFit="1" customWidth="1"/>
    <col min="14590" max="14590" width="10.42578125" style="128" customWidth="1"/>
    <col min="14591" max="14591" width="8.85546875" style="128" customWidth="1"/>
    <col min="14592" max="14592" width="7.7109375" style="128" customWidth="1"/>
    <col min="14593" max="14593" width="9" style="128" customWidth="1"/>
    <col min="14594" max="14594" width="11" style="128" customWidth="1"/>
    <col min="14595" max="14595" width="8.5703125" style="128" customWidth="1"/>
    <col min="14596" max="14596" width="10.7109375" style="128" customWidth="1"/>
    <col min="14597" max="14597" width="9.42578125" style="128" bestFit="1" customWidth="1"/>
    <col min="14598" max="14825" width="9.140625" style="128"/>
    <col min="14826" max="14826" width="31.140625" style="128" customWidth="1"/>
    <col min="14827" max="14828" width="9.85546875" style="128" customWidth="1"/>
    <col min="14829" max="14829" width="10.28515625" style="128" customWidth="1"/>
    <col min="14830" max="14830" width="11.42578125" style="128" customWidth="1"/>
    <col min="14831" max="14831" width="10.28515625" style="128" customWidth="1"/>
    <col min="14832" max="14833" width="9.140625" style="128"/>
    <col min="14834" max="14834" width="10.42578125" style="128" customWidth="1"/>
    <col min="14835" max="14835" width="8.7109375" style="128" customWidth="1"/>
    <col min="14836" max="14836" width="8.42578125" style="128" customWidth="1"/>
    <col min="14837" max="14839" width="9.28515625" style="128" bestFit="1" customWidth="1"/>
    <col min="14840" max="14840" width="8.140625" style="128" customWidth="1"/>
    <col min="14841" max="14841" width="8" style="128" customWidth="1"/>
    <col min="14842" max="14842" width="9.28515625" style="128" bestFit="1" customWidth="1"/>
    <col min="14843" max="14843" width="10.5703125" style="128" customWidth="1"/>
    <col min="14844" max="14845" width="9.28515625" style="128" bestFit="1" customWidth="1"/>
    <col min="14846" max="14846" width="10.42578125" style="128" customWidth="1"/>
    <col min="14847" max="14847" width="8.85546875" style="128" customWidth="1"/>
    <col min="14848" max="14848" width="7.7109375" style="128" customWidth="1"/>
    <col min="14849" max="14849" width="9" style="128" customWidth="1"/>
    <col min="14850" max="14850" width="11" style="128" customWidth="1"/>
    <col min="14851" max="14851" width="8.5703125" style="128" customWidth="1"/>
    <col min="14852" max="14852" width="10.7109375" style="128" customWidth="1"/>
    <col min="14853" max="14853" width="9.42578125" style="128" bestFit="1" customWidth="1"/>
    <col min="14854" max="15081" width="9.140625" style="128"/>
    <col min="15082" max="15082" width="31.140625" style="128" customWidth="1"/>
    <col min="15083" max="15084" width="9.85546875" style="128" customWidth="1"/>
    <col min="15085" max="15085" width="10.28515625" style="128" customWidth="1"/>
    <col min="15086" max="15086" width="11.42578125" style="128" customWidth="1"/>
    <col min="15087" max="15087" width="10.28515625" style="128" customWidth="1"/>
    <col min="15088" max="15089" width="9.140625" style="128"/>
    <col min="15090" max="15090" width="10.42578125" style="128" customWidth="1"/>
    <col min="15091" max="15091" width="8.7109375" style="128" customWidth="1"/>
    <col min="15092" max="15092" width="8.42578125" style="128" customWidth="1"/>
    <col min="15093" max="15095" width="9.28515625" style="128" bestFit="1" customWidth="1"/>
    <col min="15096" max="15096" width="8.140625" style="128" customWidth="1"/>
    <col min="15097" max="15097" width="8" style="128" customWidth="1"/>
    <col min="15098" max="15098" width="9.28515625" style="128" bestFit="1" customWidth="1"/>
    <col min="15099" max="15099" width="10.5703125" style="128" customWidth="1"/>
    <col min="15100" max="15101" width="9.28515625" style="128" bestFit="1" customWidth="1"/>
    <col min="15102" max="15102" width="10.42578125" style="128" customWidth="1"/>
    <col min="15103" max="15103" width="8.85546875" style="128" customWidth="1"/>
    <col min="15104" max="15104" width="7.7109375" style="128" customWidth="1"/>
    <col min="15105" max="15105" width="9" style="128" customWidth="1"/>
    <col min="15106" max="15106" width="11" style="128" customWidth="1"/>
    <col min="15107" max="15107" width="8.5703125" style="128" customWidth="1"/>
    <col min="15108" max="15108" width="10.7109375" style="128" customWidth="1"/>
    <col min="15109" max="15109" width="9.42578125" style="128" bestFit="1" customWidth="1"/>
    <col min="15110" max="15337" width="9.140625" style="128"/>
    <col min="15338" max="15338" width="31.140625" style="128" customWidth="1"/>
    <col min="15339" max="15340" width="9.85546875" style="128" customWidth="1"/>
    <col min="15341" max="15341" width="10.28515625" style="128" customWidth="1"/>
    <col min="15342" max="15342" width="11.42578125" style="128" customWidth="1"/>
    <col min="15343" max="15343" width="10.28515625" style="128" customWidth="1"/>
    <col min="15344" max="15345" width="9.140625" style="128"/>
    <col min="15346" max="15346" width="10.42578125" style="128" customWidth="1"/>
    <col min="15347" max="15347" width="8.7109375" style="128" customWidth="1"/>
    <col min="15348" max="15348" width="8.42578125" style="128" customWidth="1"/>
    <col min="15349" max="15351" width="9.28515625" style="128" bestFit="1" customWidth="1"/>
    <col min="15352" max="15352" width="8.140625" style="128" customWidth="1"/>
    <col min="15353" max="15353" width="8" style="128" customWidth="1"/>
    <col min="15354" max="15354" width="9.28515625" style="128" bestFit="1" customWidth="1"/>
    <col min="15355" max="15355" width="10.5703125" style="128" customWidth="1"/>
    <col min="15356" max="15357" width="9.28515625" style="128" bestFit="1" customWidth="1"/>
    <col min="15358" max="15358" width="10.42578125" style="128" customWidth="1"/>
    <col min="15359" max="15359" width="8.85546875" style="128" customWidth="1"/>
    <col min="15360" max="15360" width="7.7109375" style="128" customWidth="1"/>
    <col min="15361" max="15361" width="9" style="128" customWidth="1"/>
    <col min="15362" max="15362" width="11" style="128" customWidth="1"/>
    <col min="15363" max="15363" width="8.5703125" style="128" customWidth="1"/>
    <col min="15364" max="15364" width="10.7109375" style="128" customWidth="1"/>
    <col min="15365" max="15365" width="9.42578125" style="128" bestFit="1" customWidth="1"/>
    <col min="15366" max="15593" width="9.140625" style="128"/>
    <col min="15594" max="15594" width="31.140625" style="128" customWidth="1"/>
    <col min="15595" max="15596" width="9.85546875" style="128" customWidth="1"/>
    <col min="15597" max="15597" width="10.28515625" style="128" customWidth="1"/>
    <col min="15598" max="15598" width="11.42578125" style="128" customWidth="1"/>
    <col min="15599" max="15599" width="10.28515625" style="128" customWidth="1"/>
    <col min="15600" max="15601" width="9.140625" style="128"/>
    <col min="15602" max="15602" width="10.42578125" style="128" customWidth="1"/>
    <col min="15603" max="15603" width="8.7109375" style="128" customWidth="1"/>
    <col min="15604" max="15604" width="8.42578125" style="128" customWidth="1"/>
    <col min="15605" max="15607" width="9.28515625" style="128" bestFit="1" customWidth="1"/>
    <col min="15608" max="15608" width="8.140625" style="128" customWidth="1"/>
    <col min="15609" max="15609" width="8" style="128" customWidth="1"/>
    <col min="15610" max="15610" width="9.28515625" style="128" bestFit="1" customWidth="1"/>
    <col min="15611" max="15611" width="10.5703125" style="128" customWidth="1"/>
    <col min="15612" max="15613" width="9.28515625" style="128" bestFit="1" customWidth="1"/>
    <col min="15614" max="15614" width="10.42578125" style="128" customWidth="1"/>
    <col min="15615" max="15615" width="8.85546875" style="128" customWidth="1"/>
    <col min="15616" max="15616" width="7.7109375" style="128" customWidth="1"/>
    <col min="15617" max="15617" width="9" style="128" customWidth="1"/>
    <col min="15618" max="15618" width="11" style="128" customWidth="1"/>
    <col min="15619" max="15619" width="8.5703125" style="128" customWidth="1"/>
    <col min="15620" max="15620" width="10.7109375" style="128" customWidth="1"/>
    <col min="15621" max="15621" width="9.42578125" style="128" bestFit="1" customWidth="1"/>
    <col min="15622" max="15849" width="9.140625" style="128"/>
    <col min="15850" max="15850" width="31.140625" style="128" customWidth="1"/>
    <col min="15851" max="15852" width="9.85546875" style="128" customWidth="1"/>
    <col min="15853" max="15853" width="10.28515625" style="128" customWidth="1"/>
    <col min="15854" max="15854" width="11.42578125" style="128" customWidth="1"/>
    <col min="15855" max="15855" width="10.28515625" style="128" customWidth="1"/>
    <col min="15856" max="15857" width="9.140625" style="128"/>
    <col min="15858" max="15858" width="10.42578125" style="128" customWidth="1"/>
    <col min="15859" max="15859" width="8.7109375" style="128" customWidth="1"/>
    <col min="15860" max="15860" width="8.42578125" style="128" customWidth="1"/>
    <col min="15861" max="15863" width="9.28515625" style="128" bestFit="1" customWidth="1"/>
    <col min="15864" max="15864" width="8.140625" style="128" customWidth="1"/>
    <col min="15865" max="15865" width="8" style="128" customWidth="1"/>
    <col min="15866" max="15866" width="9.28515625" style="128" bestFit="1" customWidth="1"/>
    <col min="15867" max="15867" width="10.5703125" style="128" customWidth="1"/>
    <col min="15868" max="15869" width="9.28515625" style="128" bestFit="1" customWidth="1"/>
    <col min="15870" max="15870" width="10.42578125" style="128" customWidth="1"/>
    <col min="15871" max="15871" width="8.85546875" style="128" customWidth="1"/>
    <col min="15872" max="15872" width="7.7109375" style="128" customWidth="1"/>
    <col min="15873" max="15873" width="9" style="128" customWidth="1"/>
    <col min="15874" max="15874" width="11" style="128" customWidth="1"/>
    <col min="15875" max="15875" width="8.5703125" style="128" customWidth="1"/>
    <col min="15876" max="15876" width="10.7109375" style="128" customWidth="1"/>
    <col min="15877" max="15877" width="9.42578125" style="128" bestFit="1" customWidth="1"/>
    <col min="15878" max="16105" width="9.140625" style="128"/>
    <col min="16106" max="16106" width="31.140625" style="128" customWidth="1"/>
    <col min="16107" max="16108" width="9.85546875" style="128" customWidth="1"/>
    <col min="16109" max="16109" width="10.28515625" style="128" customWidth="1"/>
    <col min="16110" max="16110" width="11.42578125" style="128" customWidth="1"/>
    <col min="16111" max="16111" width="10.28515625" style="128" customWidth="1"/>
    <col min="16112" max="16113" width="9.140625" style="128"/>
    <col min="16114" max="16114" width="10.42578125" style="128" customWidth="1"/>
    <col min="16115" max="16115" width="8.7109375" style="128" customWidth="1"/>
    <col min="16116" max="16116" width="8.42578125" style="128" customWidth="1"/>
    <col min="16117" max="16119" width="9.28515625" style="128" bestFit="1" customWidth="1"/>
    <col min="16120" max="16120" width="8.140625" style="128" customWidth="1"/>
    <col min="16121" max="16121" width="8" style="128" customWidth="1"/>
    <col min="16122" max="16122" width="9.28515625" style="128" bestFit="1" customWidth="1"/>
    <col min="16123" max="16123" width="10.5703125" style="128" customWidth="1"/>
    <col min="16124" max="16125" width="9.28515625" style="128" bestFit="1" customWidth="1"/>
    <col min="16126" max="16126" width="10.42578125" style="128" customWidth="1"/>
    <col min="16127" max="16127" width="8.85546875" style="128" customWidth="1"/>
    <col min="16128" max="16128" width="7.7109375" style="128" customWidth="1"/>
    <col min="16129" max="16129" width="9" style="128" customWidth="1"/>
    <col min="16130" max="16130" width="11" style="128" customWidth="1"/>
    <col min="16131" max="16131" width="8.5703125" style="128" customWidth="1"/>
    <col min="16132" max="16132" width="10.7109375" style="128" customWidth="1"/>
    <col min="16133" max="16133" width="9.42578125" style="128" bestFit="1" customWidth="1"/>
    <col min="16134" max="16368" width="9.140625" style="128"/>
    <col min="16369" max="16372" width="9.140625" style="128" customWidth="1"/>
    <col min="16373" max="16384" width="9.140625" style="128"/>
  </cols>
  <sheetData>
    <row r="2" spans="1:13" ht="15.75" x14ac:dyDescent="0.25">
      <c r="A2" s="671" t="s">
        <v>75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128"/>
    </row>
    <row r="4" spans="1:13" s="131" customFormat="1" x14ac:dyDescent="0.25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ht="12.75" customHeight="1" x14ac:dyDescent="0.25">
      <c r="A5" s="672" t="s">
        <v>76</v>
      </c>
      <c r="B5" s="669" t="s">
        <v>77</v>
      </c>
      <c r="C5" s="669" t="s">
        <v>78</v>
      </c>
      <c r="D5" s="669"/>
      <c r="E5" s="669" t="s">
        <v>79</v>
      </c>
      <c r="F5" s="672" t="s">
        <v>80</v>
      </c>
      <c r="G5" s="673" t="s">
        <v>81</v>
      </c>
      <c r="H5" s="673"/>
      <c r="I5" s="673"/>
      <c r="J5" s="673"/>
      <c r="K5" s="673"/>
      <c r="L5" s="673"/>
      <c r="M5" s="673"/>
    </row>
    <row r="6" spans="1:13" x14ac:dyDescent="0.25">
      <c r="A6" s="672"/>
      <c r="B6" s="669"/>
      <c r="C6" s="669"/>
      <c r="D6" s="669"/>
      <c r="E6" s="669"/>
      <c r="F6" s="672"/>
      <c r="G6" s="673"/>
      <c r="H6" s="673"/>
      <c r="I6" s="673"/>
      <c r="J6" s="673"/>
      <c r="K6" s="673"/>
      <c r="L6" s="673"/>
      <c r="M6" s="673"/>
    </row>
    <row r="7" spans="1:13" ht="33.75" customHeight="1" x14ac:dyDescent="0.25">
      <c r="A7" s="672"/>
      <c r="B7" s="669"/>
      <c r="C7" s="669"/>
      <c r="D7" s="669"/>
      <c r="E7" s="669"/>
      <c r="F7" s="672"/>
      <c r="G7" s="669" t="s">
        <v>82</v>
      </c>
      <c r="H7" s="669"/>
      <c r="I7" s="669"/>
      <c r="J7" s="669" t="s">
        <v>83</v>
      </c>
      <c r="K7" s="669" t="s">
        <v>84</v>
      </c>
      <c r="L7" s="669" t="s">
        <v>85</v>
      </c>
      <c r="M7" s="669" t="s">
        <v>86</v>
      </c>
    </row>
    <row r="8" spans="1:13" ht="120.75" customHeight="1" x14ac:dyDescent="0.25">
      <c r="A8" s="672"/>
      <c r="B8" s="669"/>
      <c r="C8" s="132" t="s">
        <v>87</v>
      </c>
      <c r="D8" s="132" t="s">
        <v>88</v>
      </c>
      <c r="E8" s="669"/>
      <c r="F8" s="672"/>
      <c r="G8" s="132" t="s">
        <v>89</v>
      </c>
      <c r="H8" s="132" t="s">
        <v>88</v>
      </c>
      <c r="I8" s="132" t="s">
        <v>90</v>
      </c>
      <c r="J8" s="669"/>
      <c r="K8" s="669"/>
      <c r="L8" s="669"/>
      <c r="M8" s="669"/>
    </row>
    <row r="9" spans="1:13" s="135" customFormat="1" ht="33.75" hidden="1" x14ac:dyDescent="0.25">
      <c r="A9" s="133">
        <v>1</v>
      </c>
      <c r="B9" s="133">
        <v>2</v>
      </c>
      <c r="C9" s="133"/>
      <c r="D9" s="133"/>
      <c r="E9" s="133" t="s">
        <v>91</v>
      </c>
      <c r="F9" s="133">
        <v>9</v>
      </c>
      <c r="G9" s="134" t="s">
        <v>92</v>
      </c>
      <c r="H9" s="134"/>
      <c r="I9" s="134"/>
      <c r="J9" s="134" t="s">
        <v>93</v>
      </c>
      <c r="K9" s="134"/>
      <c r="L9" s="134"/>
      <c r="M9" s="134"/>
    </row>
    <row r="10" spans="1:13" s="139" customFormat="1" ht="15" x14ac:dyDescent="0.25">
      <c r="A10" s="136" t="s">
        <v>94</v>
      </c>
      <c r="B10" s="137">
        <f t="shared" ref="B10:K10" si="0">B12+B24+B26+B28</f>
        <v>958</v>
      </c>
      <c r="C10" s="137">
        <f t="shared" si="0"/>
        <v>547</v>
      </c>
      <c r="D10" s="137">
        <f t="shared" si="0"/>
        <v>411</v>
      </c>
      <c r="E10" s="137">
        <f t="shared" si="0"/>
        <v>312</v>
      </c>
      <c r="F10" s="138">
        <f t="shared" si="0"/>
        <v>97124.181068600024</v>
      </c>
      <c r="G10" s="138">
        <f t="shared" si="0"/>
        <v>8717.5608799999991</v>
      </c>
      <c r="H10" s="138">
        <f t="shared" si="0"/>
        <v>4468.4873520000001</v>
      </c>
      <c r="I10" s="138">
        <f t="shared" si="0"/>
        <v>13186.048231999999</v>
      </c>
      <c r="J10" s="138">
        <f t="shared" si="0"/>
        <v>67672.097051999997</v>
      </c>
      <c r="K10" s="138">
        <f t="shared" si="0"/>
        <v>2725.7013125999993</v>
      </c>
      <c r="L10" s="138">
        <f>L12+L24+L26+L28</f>
        <v>12940.818071999998</v>
      </c>
      <c r="M10" s="138">
        <f>M12+M24+M26+M28</f>
        <v>599.51639999999986</v>
      </c>
    </row>
    <row r="11" spans="1:13" s="144" customFormat="1" x14ac:dyDescent="0.25">
      <c r="A11" s="140"/>
      <c r="B11" s="141"/>
      <c r="C11" s="141"/>
      <c r="D11" s="141"/>
      <c r="E11" s="142"/>
      <c r="F11" s="143"/>
      <c r="G11" s="143"/>
      <c r="H11" s="143"/>
      <c r="I11" s="143"/>
      <c r="J11" s="143"/>
      <c r="K11" s="143"/>
      <c r="L11" s="143"/>
      <c r="M11" s="143"/>
    </row>
    <row r="12" spans="1:13" s="131" customFormat="1" ht="14.25" x14ac:dyDescent="0.25">
      <c r="A12" s="145" t="s">
        <v>95</v>
      </c>
      <c r="B12" s="146">
        <f>SUM(B13:B23)</f>
        <v>881</v>
      </c>
      <c r="C12" s="146">
        <f t="shared" ref="C12:K12" si="1">SUM(C13:C23)</f>
        <v>535</v>
      </c>
      <c r="D12" s="146">
        <f t="shared" si="1"/>
        <v>346</v>
      </c>
      <c r="E12" s="146">
        <f t="shared" si="1"/>
        <v>293</v>
      </c>
      <c r="F12" s="147">
        <f>SUM(F13:F23)</f>
        <v>89472.796378700019</v>
      </c>
      <c r="G12" s="148">
        <f t="shared" si="1"/>
        <v>8526.3163999999997</v>
      </c>
      <c r="H12" s="148">
        <f t="shared" si="1"/>
        <v>3761.7922720000001</v>
      </c>
      <c r="I12" s="148">
        <f>+G12+H12</f>
        <v>12288.108672</v>
      </c>
      <c r="J12" s="148">
        <f t="shared" si="1"/>
        <v>61973.981538</v>
      </c>
      <c r="K12" s="148">
        <f t="shared" si="1"/>
        <v>2506.6209356999993</v>
      </c>
      <c r="L12" s="148">
        <f>SUM(L13:L23)</f>
        <v>12152.755432999998</v>
      </c>
      <c r="M12" s="148">
        <f>SUM(M13:M23)</f>
        <v>551.32979999999986</v>
      </c>
    </row>
    <row r="13" spans="1:13" ht="38.25" x14ac:dyDescent="0.25">
      <c r="A13" s="149" t="s">
        <v>96</v>
      </c>
      <c r="B13" s="150">
        <f>+C13+D13</f>
        <v>89</v>
      </c>
      <c r="C13" s="151">
        <v>65</v>
      </c>
      <c r="D13" s="152">
        <v>24</v>
      </c>
      <c r="E13" s="150">
        <v>23</v>
      </c>
      <c r="F13" s="153">
        <f>+I13+J13+K13+L13+M13</f>
        <v>9101.5998423000001</v>
      </c>
      <c r="G13" s="154">
        <f>C13*$J$35/1000</f>
        <v>1035.9076</v>
      </c>
      <c r="H13" s="154">
        <f>D13*$K$35/1000</f>
        <v>260.93356799999998</v>
      </c>
      <c r="I13" s="153">
        <f>+G13+H13</f>
        <v>1296.8411679999999</v>
      </c>
      <c r="J13" s="155">
        <f>(($I$35*(B13-E13)*365)+($I$35*E13*181))/1000</f>
        <v>6541.8691379999991</v>
      </c>
      <c r="K13" s="153">
        <f>B13*$L$35/1000</f>
        <v>253.22277329999994</v>
      </c>
      <c r="L13" s="153">
        <f t="shared" ref="L13:L23" si="2">E13*$M$35/1000</f>
        <v>953.97056299999997</v>
      </c>
      <c r="M13" s="155">
        <f>B13*$N$35*12/1000</f>
        <v>55.696199999999997</v>
      </c>
    </row>
    <row r="14" spans="1:13" ht="38.25" x14ac:dyDescent="0.25">
      <c r="A14" s="149" t="s">
        <v>97</v>
      </c>
      <c r="B14" s="150">
        <f t="shared" ref="B14:B23" si="3">+C14+D14</f>
        <v>84</v>
      </c>
      <c r="C14" s="151">
        <v>49</v>
      </c>
      <c r="D14" s="152">
        <v>35</v>
      </c>
      <c r="E14" s="150">
        <v>34</v>
      </c>
      <c r="F14" s="153">
        <f>+I14+J14+K14+L14+M14</f>
        <v>8513.8729927999993</v>
      </c>
      <c r="G14" s="154">
        <f t="shared" ref="G14:G29" si="4">C14*$J$35/1000</f>
        <v>780.91495999999995</v>
      </c>
      <c r="H14" s="154">
        <f t="shared" ref="H14:H29" si="5">D14*$K$35/1000</f>
        <v>380.52812</v>
      </c>
      <c r="I14" s="153">
        <f t="shared" ref="I14:I29" si="6">+G14+H14</f>
        <v>1161.44308</v>
      </c>
      <c r="J14" s="143">
        <f>(($I$35*(B14-E14)*365)+($I$35*E14*181))/1000</f>
        <v>5650.6485839999996</v>
      </c>
      <c r="K14" s="153">
        <f t="shared" ref="K14:K29" si="7">B14*$L$35/1000</f>
        <v>238.99677479999994</v>
      </c>
      <c r="L14" s="153">
        <f t="shared" si="2"/>
        <v>1410.2173540000001</v>
      </c>
      <c r="M14" s="143">
        <f t="shared" ref="M14:M29" si="8">B14*$N$35*12/1000</f>
        <v>52.5672</v>
      </c>
    </row>
    <row r="15" spans="1:13" ht="25.5" x14ac:dyDescent="0.25">
      <c r="A15" s="149" t="s">
        <v>98</v>
      </c>
      <c r="B15" s="150">
        <f t="shared" si="3"/>
        <v>191</v>
      </c>
      <c r="C15" s="151">
        <v>103</v>
      </c>
      <c r="D15" s="152">
        <v>88</v>
      </c>
      <c r="E15" s="150">
        <v>52</v>
      </c>
      <c r="F15" s="153">
        <f t="shared" ref="F15:F29" si="9">+I15+J15+K15+L15+M15</f>
        <v>19344.8327527</v>
      </c>
      <c r="G15" s="154">
        <f t="shared" si="4"/>
        <v>1641.5151199999998</v>
      </c>
      <c r="H15" s="154">
        <f t="shared" si="5"/>
        <v>956.75641599999994</v>
      </c>
      <c r="I15" s="153">
        <f t="shared" si="6"/>
        <v>2598.2715359999997</v>
      </c>
      <c r="J15" s="143">
        <f t="shared" ref="J15:J29" si="10">(($I$35*(B15-E15)*365)+($I$35*E15*181))/1000</f>
        <v>13926.797262</v>
      </c>
      <c r="K15" s="153">
        <f t="shared" si="7"/>
        <v>543.43314269999985</v>
      </c>
      <c r="L15" s="153">
        <f t="shared" si="2"/>
        <v>2156.8030120000003</v>
      </c>
      <c r="M15" s="143">
        <f t="shared" si="8"/>
        <v>119.52779999999998</v>
      </c>
    </row>
    <row r="16" spans="1:13" ht="25.5" x14ac:dyDescent="0.25">
      <c r="A16" s="149" t="s">
        <v>99</v>
      </c>
      <c r="B16" s="150">
        <f t="shared" si="3"/>
        <v>73</v>
      </c>
      <c r="C16" s="151">
        <v>44</v>
      </c>
      <c r="D16" s="152">
        <v>29</v>
      </c>
      <c r="E16" s="150">
        <v>24</v>
      </c>
      <c r="F16" s="153">
        <f t="shared" si="9"/>
        <v>7412.391044099998</v>
      </c>
      <c r="G16" s="154">
        <f t="shared" si="4"/>
        <v>701.22976000000006</v>
      </c>
      <c r="H16" s="154">
        <f t="shared" si="5"/>
        <v>315.29472800000002</v>
      </c>
      <c r="I16" s="153">
        <f t="shared" si="6"/>
        <v>1016.524488</v>
      </c>
      <c r="J16" s="143">
        <f t="shared" si="10"/>
        <v>5147.0360339999988</v>
      </c>
      <c r="K16" s="153">
        <f t="shared" si="7"/>
        <v>207.69957809999997</v>
      </c>
      <c r="L16" s="153">
        <f t="shared" si="2"/>
        <v>995.44754399999999</v>
      </c>
      <c r="M16" s="143">
        <f t="shared" si="8"/>
        <v>45.683399999999992</v>
      </c>
    </row>
    <row r="17" spans="1:13" ht="25.5" x14ac:dyDescent="0.25">
      <c r="A17" s="149" t="s">
        <v>100</v>
      </c>
      <c r="B17" s="150">
        <f t="shared" si="3"/>
        <v>67</v>
      </c>
      <c r="C17" s="151">
        <v>42</v>
      </c>
      <c r="D17" s="152">
        <v>25</v>
      </c>
      <c r="E17" s="150">
        <v>20</v>
      </c>
      <c r="F17" s="153">
        <f t="shared" si="9"/>
        <v>6813.6262299</v>
      </c>
      <c r="G17" s="154">
        <f t="shared" si="4"/>
        <v>669.35567999999989</v>
      </c>
      <c r="H17" s="154">
        <f t="shared" si="5"/>
        <v>271.80579999999998</v>
      </c>
      <c r="I17" s="153">
        <f t="shared" si="6"/>
        <v>941.16147999999987</v>
      </c>
      <c r="J17" s="143">
        <f t="shared" si="10"/>
        <v>4810.3681500000002</v>
      </c>
      <c r="K17" s="153">
        <f t="shared" si="7"/>
        <v>190.62837989999994</v>
      </c>
      <c r="L17" s="153">
        <f t="shared" si="2"/>
        <v>829.53962000000001</v>
      </c>
      <c r="M17" s="143">
        <f t="shared" si="8"/>
        <v>41.928599999999996</v>
      </c>
    </row>
    <row r="18" spans="1:13" ht="38.25" x14ac:dyDescent="0.25">
      <c r="A18" s="149" t="s">
        <v>101</v>
      </c>
      <c r="B18" s="150">
        <f t="shared" si="3"/>
        <v>76</v>
      </c>
      <c r="C18" s="151">
        <v>42</v>
      </c>
      <c r="D18" s="152">
        <v>34</v>
      </c>
      <c r="E18" s="150">
        <v>31</v>
      </c>
      <c r="F18" s="153">
        <f t="shared" si="9"/>
        <v>7690.9416122000002</v>
      </c>
      <c r="G18" s="154">
        <f t="shared" si="4"/>
        <v>669.35567999999989</v>
      </c>
      <c r="H18" s="154">
        <f t="shared" si="5"/>
        <v>369.655888</v>
      </c>
      <c r="I18" s="153">
        <f t="shared" si="6"/>
        <v>1039.0115679999999</v>
      </c>
      <c r="J18" s="143">
        <f t="shared" si="10"/>
        <v>5102.3476559999999</v>
      </c>
      <c r="K18" s="153">
        <f t="shared" si="7"/>
        <v>216.23517719999995</v>
      </c>
      <c r="L18" s="153">
        <f t="shared" si="2"/>
        <v>1285.786411</v>
      </c>
      <c r="M18" s="143">
        <f t="shared" si="8"/>
        <v>47.5608</v>
      </c>
    </row>
    <row r="19" spans="1:13" ht="25.5" x14ac:dyDescent="0.25">
      <c r="A19" s="156" t="s">
        <v>102</v>
      </c>
      <c r="B19" s="150">
        <f t="shared" si="3"/>
        <v>141</v>
      </c>
      <c r="C19" s="151">
        <v>94</v>
      </c>
      <c r="D19" s="152">
        <v>47</v>
      </c>
      <c r="E19" s="150">
        <v>41</v>
      </c>
      <c r="F19" s="153">
        <f t="shared" si="9"/>
        <v>14368.775708700001</v>
      </c>
      <c r="G19" s="154">
        <f t="shared" si="4"/>
        <v>1498.08176</v>
      </c>
      <c r="H19" s="154">
        <f t="shared" si="5"/>
        <v>510.99490399999996</v>
      </c>
      <c r="I19" s="153">
        <f t="shared" si="6"/>
        <v>2009.0766639999999</v>
      </c>
      <c r="J19" s="143">
        <f t="shared" si="10"/>
        <v>10169.731866</v>
      </c>
      <c r="K19" s="153">
        <f t="shared" si="7"/>
        <v>401.17315769999988</v>
      </c>
      <c r="L19" s="153">
        <f t="shared" si="2"/>
        <v>1700.5562209999998</v>
      </c>
      <c r="M19" s="143">
        <f t="shared" si="8"/>
        <v>88.237799999999993</v>
      </c>
    </row>
    <row r="20" spans="1:13" ht="25.5" x14ac:dyDescent="0.25">
      <c r="A20" s="156" t="s">
        <v>103</v>
      </c>
      <c r="B20" s="150">
        <f t="shared" si="3"/>
        <v>56</v>
      </c>
      <c r="C20" s="151">
        <v>34</v>
      </c>
      <c r="D20" s="152">
        <v>22</v>
      </c>
      <c r="E20" s="150">
        <v>21</v>
      </c>
      <c r="F20" s="153">
        <f t="shared" si="9"/>
        <v>5684.5475441999997</v>
      </c>
      <c r="G20" s="154">
        <f t="shared" si="4"/>
        <v>541.85936000000004</v>
      </c>
      <c r="H20" s="154">
        <f t="shared" si="5"/>
        <v>239.18910399999999</v>
      </c>
      <c r="I20" s="153">
        <f t="shared" si="6"/>
        <v>781.04846399999997</v>
      </c>
      <c r="J20" s="143">
        <f t="shared" si="10"/>
        <v>3838.1064959999999</v>
      </c>
      <c r="K20" s="153">
        <f t="shared" si="7"/>
        <v>159.33118319999997</v>
      </c>
      <c r="L20" s="153">
        <f t="shared" si="2"/>
        <v>871.01660100000004</v>
      </c>
      <c r="M20" s="143">
        <f t="shared" si="8"/>
        <v>35.044800000000002</v>
      </c>
    </row>
    <row r="21" spans="1:13" ht="25.5" x14ac:dyDescent="0.25">
      <c r="A21" s="156" t="s">
        <v>104</v>
      </c>
      <c r="B21" s="150">
        <f t="shared" si="3"/>
        <v>67</v>
      </c>
      <c r="C21" s="151">
        <v>35</v>
      </c>
      <c r="D21" s="152">
        <v>32</v>
      </c>
      <c r="E21" s="150">
        <v>26</v>
      </c>
      <c r="F21" s="153">
        <f t="shared" si="9"/>
        <v>6771.4076759000009</v>
      </c>
      <c r="G21" s="154">
        <f t="shared" si="4"/>
        <v>557.79640000000006</v>
      </c>
      <c r="H21" s="154">
        <f t="shared" si="5"/>
        <v>347.91142400000001</v>
      </c>
      <c r="I21" s="153">
        <f t="shared" si="6"/>
        <v>905.70782400000007</v>
      </c>
      <c r="J21" s="143">
        <f t="shared" si="10"/>
        <v>4554.7413660000002</v>
      </c>
      <c r="K21" s="153">
        <f t="shared" si="7"/>
        <v>190.62837989999994</v>
      </c>
      <c r="L21" s="153">
        <f t="shared" si="2"/>
        <v>1078.4015060000002</v>
      </c>
      <c r="M21" s="143">
        <f t="shared" si="8"/>
        <v>41.928599999999996</v>
      </c>
    </row>
    <row r="22" spans="1:13" ht="38.25" x14ac:dyDescent="0.25">
      <c r="A22" s="157" t="s">
        <v>105</v>
      </c>
      <c r="B22" s="150">
        <f t="shared" si="3"/>
        <v>16</v>
      </c>
      <c r="C22" s="151">
        <v>12</v>
      </c>
      <c r="D22" s="152">
        <v>4</v>
      </c>
      <c r="E22" s="150">
        <v>10</v>
      </c>
      <c r="F22" s="153">
        <f t="shared" si="9"/>
        <v>1631.2232131999999</v>
      </c>
      <c r="G22" s="154">
        <f t="shared" si="4"/>
        <v>191.24447999999998</v>
      </c>
      <c r="H22" s="154">
        <f t="shared" si="5"/>
        <v>43.488928000000001</v>
      </c>
      <c r="I22" s="153">
        <f t="shared" si="6"/>
        <v>234.733408</v>
      </c>
      <c r="J22" s="143">
        <f t="shared" si="10"/>
        <v>926.18399999999997</v>
      </c>
      <c r="K22" s="153">
        <f t="shared" si="7"/>
        <v>45.523195199999989</v>
      </c>
      <c r="L22" s="153">
        <f t="shared" si="2"/>
        <v>414.76981000000001</v>
      </c>
      <c r="M22" s="143">
        <f t="shared" si="8"/>
        <v>10.012799999999999</v>
      </c>
    </row>
    <row r="23" spans="1:13" ht="38.25" x14ac:dyDescent="0.25">
      <c r="A23" s="157" t="s">
        <v>106</v>
      </c>
      <c r="B23" s="150">
        <f t="shared" si="3"/>
        <v>21</v>
      </c>
      <c r="C23" s="151">
        <v>15</v>
      </c>
      <c r="D23" s="152">
        <v>6</v>
      </c>
      <c r="E23" s="150">
        <v>11</v>
      </c>
      <c r="F23" s="153">
        <f t="shared" si="9"/>
        <v>2139.5777626999998</v>
      </c>
      <c r="G23" s="154">
        <f t="shared" si="4"/>
        <v>239.05559999999997</v>
      </c>
      <c r="H23" s="154">
        <f t="shared" si="5"/>
        <v>65.233391999999995</v>
      </c>
      <c r="I23" s="153">
        <f t="shared" si="6"/>
        <v>304.28899199999995</v>
      </c>
      <c r="J23" s="143">
        <f t="shared" si="10"/>
        <v>1306.1509860000001</v>
      </c>
      <c r="K23" s="153">
        <f t="shared" si="7"/>
        <v>59.749193699999985</v>
      </c>
      <c r="L23" s="153">
        <f t="shared" si="2"/>
        <v>456.24679099999997</v>
      </c>
      <c r="M23" s="143">
        <f t="shared" si="8"/>
        <v>13.1418</v>
      </c>
    </row>
    <row r="24" spans="1:13" ht="14.25" x14ac:dyDescent="0.25">
      <c r="A24" s="145" t="s">
        <v>107</v>
      </c>
      <c r="B24" s="158">
        <f>+B25</f>
        <v>35</v>
      </c>
      <c r="C24" s="158">
        <f t="shared" ref="C24:K24" si="11">+C25</f>
        <v>5</v>
      </c>
      <c r="D24" s="158">
        <f t="shared" si="11"/>
        <v>30</v>
      </c>
      <c r="E24" s="158">
        <f t="shared" si="11"/>
        <v>10</v>
      </c>
      <c r="F24" s="159">
        <f>F25</f>
        <v>3474.0624694999992</v>
      </c>
      <c r="G24" s="160">
        <f t="shared" si="11"/>
        <v>79.685199999999995</v>
      </c>
      <c r="H24" s="160">
        <f t="shared" si="11"/>
        <v>326.16696000000002</v>
      </c>
      <c r="I24" s="160">
        <f t="shared" si="11"/>
        <v>405.85216000000003</v>
      </c>
      <c r="J24" s="160">
        <f t="shared" si="11"/>
        <v>2531.9555099999998</v>
      </c>
      <c r="K24" s="160">
        <f t="shared" si="11"/>
        <v>99.581989499999963</v>
      </c>
      <c r="L24" s="159">
        <f>L25</f>
        <v>414.76981000000001</v>
      </c>
      <c r="M24" s="159">
        <f>M25</f>
        <v>21.902999999999999</v>
      </c>
    </row>
    <row r="25" spans="1:13" ht="25.5" x14ac:dyDescent="0.25">
      <c r="A25" s="161" t="s">
        <v>108</v>
      </c>
      <c r="B25" s="142">
        <f>C25+D25</f>
        <v>35</v>
      </c>
      <c r="C25" s="162">
        <v>5</v>
      </c>
      <c r="D25" s="162">
        <v>30</v>
      </c>
      <c r="E25" s="142">
        <v>10</v>
      </c>
      <c r="F25" s="153">
        <f t="shared" si="9"/>
        <v>3474.0624694999992</v>
      </c>
      <c r="G25" s="154">
        <f t="shared" si="4"/>
        <v>79.685199999999995</v>
      </c>
      <c r="H25" s="154">
        <f t="shared" si="5"/>
        <v>326.16696000000002</v>
      </c>
      <c r="I25" s="153">
        <f t="shared" si="6"/>
        <v>405.85216000000003</v>
      </c>
      <c r="J25" s="143">
        <f t="shared" si="10"/>
        <v>2531.9555099999998</v>
      </c>
      <c r="K25" s="153">
        <f t="shared" si="7"/>
        <v>99.581989499999963</v>
      </c>
      <c r="L25" s="153">
        <f>E25*$M$35/1000</f>
        <v>414.76981000000001</v>
      </c>
      <c r="M25" s="143">
        <f t="shared" si="8"/>
        <v>21.902999999999999</v>
      </c>
    </row>
    <row r="26" spans="1:13" ht="14.25" x14ac:dyDescent="0.25">
      <c r="A26" s="145" t="s">
        <v>109</v>
      </c>
      <c r="B26" s="158">
        <f>+B27</f>
        <v>35</v>
      </c>
      <c r="C26" s="158">
        <f t="shared" ref="C26:K26" si="12">+C27</f>
        <v>4</v>
      </c>
      <c r="D26" s="158">
        <f t="shared" si="12"/>
        <v>31</v>
      </c>
      <c r="E26" s="158">
        <f t="shared" si="12"/>
        <v>8</v>
      </c>
      <c r="F26" s="159">
        <f>F27</f>
        <v>3471.2526275</v>
      </c>
      <c r="G26" s="160">
        <f t="shared" si="12"/>
        <v>63.748159999999999</v>
      </c>
      <c r="H26" s="160">
        <f t="shared" si="12"/>
        <v>337.03919199999996</v>
      </c>
      <c r="I26" s="160">
        <f t="shared" si="12"/>
        <v>400.78735199999994</v>
      </c>
      <c r="J26" s="160">
        <f t="shared" si="12"/>
        <v>2617.1644380000002</v>
      </c>
      <c r="K26" s="160">
        <f t="shared" si="12"/>
        <v>99.581989499999963</v>
      </c>
      <c r="L26" s="159">
        <f>L27</f>
        <v>331.81584800000002</v>
      </c>
      <c r="M26" s="159">
        <f>M27</f>
        <v>21.902999999999999</v>
      </c>
    </row>
    <row r="27" spans="1:13" ht="38.25" x14ac:dyDescent="0.25">
      <c r="A27" s="161" t="s">
        <v>110</v>
      </c>
      <c r="B27" s="163">
        <f>+C27+D27</f>
        <v>35</v>
      </c>
      <c r="C27" s="164">
        <v>4</v>
      </c>
      <c r="D27" s="164">
        <v>31</v>
      </c>
      <c r="E27" s="163">
        <v>8</v>
      </c>
      <c r="F27" s="153">
        <f t="shared" si="9"/>
        <v>3471.2526275</v>
      </c>
      <c r="G27" s="154">
        <f>C27*$J$35/1000</f>
        <v>63.748159999999999</v>
      </c>
      <c r="H27" s="154">
        <f t="shared" si="5"/>
        <v>337.03919199999996</v>
      </c>
      <c r="I27" s="153">
        <f t="shared" si="6"/>
        <v>400.78735199999994</v>
      </c>
      <c r="J27" s="143">
        <f t="shared" si="10"/>
        <v>2617.1644380000002</v>
      </c>
      <c r="K27" s="153">
        <f t="shared" si="7"/>
        <v>99.581989499999963</v>
      </c>
      <c r="L27" s="153">
        <f>E27*$M$35/1000</f>
        <v>331.81584800000002</v>
      </c>
      <c r="M27" s="143">
        <f t="shared" si="8"/>
        <v>21.902999999999999</v>
      </c>
    </row>
    <row r="28" spans="1:13" s="165" customFormat="1" ht="14.25" x14ac:dyDescent="0.25">
      <c r="A28" s="145" t="s">
        <v>111</v>
      </c>
      <c r="B28" s="158">
        <f t="shared" ref="B28:K28" si="13">+B29+B30</f>
        <v>7</v>
      </c>
      <c r="C28" s="158">
        <f t="shared" si="13"/>
        <v>3</v>
      </c>
      <c r="D28" s="158">
        <f t="shared" si="13"/>
        <v>4</v>
      </c>
      <c r="E28" s="158">
        <f t="shared" si="13"/>
        <v>1</v>
      </c>
      <c r="F28" s="159">
        <f>F29</f>
        <v>706.06959289999986</v>
      </c>
      <c r="G28" s="160">
        <f t="shared" si="13"/>
        <v>47.811119999999995</v>
      </c>
      <c r="H28" s="160">
        <f t="shared" si="13"/>
        <v>43.488928000000001</v>
      </c>
      <c r="I28" s="160">
        <f t="shared" si="13"/>
        <v>91.300048000000004</v>
      </c>
      <c r="J28" s="160">
        <f t="shared" si="13"/>
        <v>548.99556599999983</v>
      </c>
      <c r="K28" s="160">
        <f t="shared" si="13"/>
        <v>19.916397899999996</v>
      </c>
      <c r="L28" s="159">
        <f>L29</f>
        <v>41.476981000000002</v>
      </c>
      <c r="M28" s="159">
        <f>M29</f>
        <v>4.3806000000000003</v>
      </c>
    </row>
    <row r="29" spans="1:13" x14ac:dyDescent="0.25">
      <c r="A29" s="161" t="s">
        <v>112</v>
      </c>
      <c r="B29" s="142">
        <f>+C29+D29</f>
        <v>7</v>
      </c>
      <c r="C29" s="162">
        <v>3</v>
      </c>
      <c r="D29" s="162">
        <v>4</v>
      </c>
      <c r="E29" s="142">
        <v>1</v>
      </c>
      <c r="F29" s="153">
        <f t="shared" si="9"/>
        <v>706.06959289999986</v>
      </c>
      <c r="G29" s="154">
        <f t="shared" si="4"/>
        <v>47.811119999999995</v>
      </c>
      <c r="H29" s="154">
        <f t="shared" si="5"/>
        <v>43.488928000000001</v>
      </c>
      <c r="I29" s="153">
        <f t="shared" si="6"/>
        <v>91.300048000000004</v>
      </c>
      <c r="J29" s="143">
        <f t="shared" si="10"/>
        <v>548.99556599999983</v>
      </c>
      <c r="K29" s="153">
        <f t="shared" si="7"/>
        <v>19.916397899999996</v>
      </c>
      <c r="L29" s="153">
        <f>E29*$M$35/1000</f>
        <v>41.476981000000002</v>
      </c>
      <c r="M29" s="143">
        <f t="shared" si="8"/>
        <v>4.3806000000000003</v>
      </c>
    </row>
    <row r="30" spans="1:13" x14ac:dyDescent="0.25">
      <c r="A30" s="161"/>
      <c r="B30" s="151"/>
      <c r="C30" s="151"/>
      <c r="D30" s="151"/>
      <c r="E30" s="162"/>
      <c r="F30" s="166"/>
      <c r="G30" s="166"/>
      <c r="H30" s="166"/>
      <c r="I30" s="143"/>
      <c r="J30" s="143"/>
      <c r="K30" s="143"/>
      <c r="L30" s="143"/>
      <c r="M30" s="143"/>
    </row>
    <row r="31" spans="1:13" s="168" customFormat="1" x14ac:dyDescent="0.25">
      <c r="A31" s="167"/>
    </row>
    <row r="32" spans="1:13" s="168" customFormat="1" x14ac:dyDescent="0.25">
      <c r="A32" s="167"/>
    </row>
    <row r="33" spans="1:14" s="168" customFormat="1" ht="63.75" x14ac:dyDescent="0.25">
      <c r="A33" s="169"/>
      <c r="B33" s="132" t="s">
        <v>113</v>
      </c>
      <c r="C33" s="132" t="s">
        <v>114</v>
      </c>
      <c r="D33" s="132" t="s">
        <v>115</v>
      </c>
      <c r="E33" s="132" t="s">
        <v>116</v>
      </c>
      <c r="F33" s="132" t="s">
        <v>117</v>
      </c>
      <c r="G33" s="170"/>
      <c r="H33" s="171" t="s">
        <v>118</v>
      </c>
      <c r="I33" s="132" t="s">
        <v>119</v>
      </c>
      <c r="J33" s="132" t="s">
        <v>120</v>
      </c>
      <c r="K33" s="132" t="s">
        <v>121</v>
      </c>
      <c r="L33" s="132" t="s">
        <v>122</v>
      </c>
      <c r="M33" s="132" t="s">
        <v>123</v>
      </c>
      <c r="N33" s="132" t="s">
        <v>124</v>
      </c>
    </row>
    <row r="34" spans="1:14" s="168" customFormat="1" ht="15" x14ac:dyDescent="0.25">
      <c r="A34" s="172" t="s">
        <v>125</v>
      </c>
      <c r="B34" s="173">
        <v>881</v>
      </c>
      <c r="C34" s="166">
        <v>70034.3</v>
      </c>
      <c r="D34" s="173">
        <f>B12</f>
        <v>881</v>
      </c>
      <c r="E34" s="166">
        <f>F12</f>
        <v>89472.796378700019</v>
      </c>
      <c r="F34" s="174">
        <f>E34-C34</f>
        <v>19438.496378700016</v>
      </c>
      <c r="G34" s="175"/>
      <c r="H34" s="176" t="s">
        <v>126</v>
      </c>
      <c r="I34" s="173">
        <v>222</v>
      </c>
      <c r="J34" s="173">
        <v>15280</v>
      </c>
      <c r="K34" s="173">
        <v>10424</v>
      </c>
      <c r="L34" s="173">
        <f>433*1.4*1.5*3</f>
        <v>2727.8999999999996</v>
      </c>
      <c r="M34" s="173">
        <f>39267+500</f>
        <v>39767</v>
      </c>
      <c r="N34" s="173">
        <v>50</v>
      </c>
    </row>
    <row r="35" spans="1:14" s="168" customFormat="1" ht="15" x14ac:dyDescent="0.25">
      <c r="A35" s="172" t="s">
        <v>107</v>
      </c>
      <c r="B35" s="173">
        <v>45</v>
      </c>
      <c r="C35" s="166">
        <v>3300.9</v>
      </c>
      <c r="D35" s="173">
        <f>B24</f>
        <v>35</v>
      </c>
      <c r="E35" s="166">
        <f>F24</f>
        <v>3474.0624694999992</v>
      </c>
      <c r="F35" s="174">
        <f t="shared" ref="F35:F37" si="14">E35-C35</f>
        <v>173.16246949999913</v>
      </c>
      <c r="G35" s="175"/>
      <c r="H35" s="176" t="s">
        <v>127</v>
      </c>
      <c r="I35" s="173">
        <f>I34*1.043</f>
        <v>231.54599999999999</v>
      </c>
      <c r="J35" s="173">
        <f t="shared" ref="J35:K35" si="15">J34*1.043</f>
        <v>15937.039999999999</v>
      </c>
      <c r="K35" s="173">
        <f t="shared" si="15"/>
        <v>10872.232</v>
      </c>
      <c r="L35" s="173">
        <f>L34*1.043</f>
        <v>2845.1996999999992</v>
      </c>
      <c r="M35" s="173">
        <f t="shared" ref="M35:N35" si="16">M34*1.043</f>
        <v>41476.981</v>
      </c>
      <c r="N35" s="173">
        <f t="shared" si="16"/>
        <v>52.15</v>
      </c>
    </row>
    <row r="36" spans="1:14" s="168" customFormat="1" ht="15" x14ac:dyDescent="0.25">
      <c r="A36" s="172" t="s">
        <v>109</v>
      </c>
      <c r="B36" s="173">
        <v>35</v>
      </c>
      <c r="C36" s="166">
        <v>2635.1</v>
      </c>
      <c r="D36" s="173">
        <f>B26</f>
        <v>35</v>
      </c>
      <c r="E36" s="166">
        <f>F26</f>
        <v>3471.2526275</v>
      </c>
      <c r="F36" s="174">
        <f t="shared" si="14"/>
        <v>836.15262750000011</v>
      </c>
      <c r="G36" s="175"/>
      <c r="H36" s="177"/>
      <c r="I36" s="178"/>
      <c r="J36" s="177"/>
      <c r="K36" s="179"/>
      <c r="L36" s="179"/>
      <c r="M36" s="179"/>
    </row>
    <row r="37" spans="1:14" s="168" customFormat="1" ht="15" x14ac:dyDescent="0.25">
      <c r="A37" s="172" t="s">
        <v>111</v>
      </c>
      <c r="B37" s="173">
        <v>20</v>
      </c>
      <c r="C37" s="166">
        <v>1518.5</v>
      </c>
      <c r="D37" s="173">
        <f>B28</f>
        <v>7</v>
      </c>
      <c r="E37" s="166">
        <f>F28</f>
        <v>706.06959289999986</v>
      </c>
      <c r="F37" s="174">
        <f t="shared" si="14"/>
        <v>-812.43040710000014</v>
      </c>
      <c r="G37" s="175"/>
      <c r="H37" s="177"/>
      <c r="I37" s="178"/>
      <c r="J37" s="177"/>
      <c r="K37" s="179"/>
      <c r="L37" s="179"/>
      <c r="M37" s="179"/>
    </row>
    <row r="38" spans="1:14" s="168" customFormat="1" ht="14.25" x14ac:dyDescent="0.25">
      <c r="A38" s="180" t="s">
        <v>128</v>
      </c>
      <c r="B38" s="181">
        <f>SUM(B34:B37)</f>
        <v>981</v>
      </c>
      <c r="C38" s="143">
        <f>SUM(C34:C37)</f>
        <v>77488.800000000003</v>
      </c>
      <c r="D38" s="181">
        <f t="shared" ref="D38:F38" si="17">SUM(D34:D37)</f>
        <v>958</v>
      </c>
      <c r="E38" s="143">
        <f t="shared" si="17"/>
        <v>97124.181068600024</v>
      </c>
      <c r="F38" s="143">
        <f t="shared" si="17"/>
        <v>19635.381068600014</v>
      </c>
      <c r="G38" s="177"/>
      <c r="H38" s="177"/>
      <c r="I38" s="178"/>
      <c r="J38" s="177"/>
    </row>
    <row r="39" spans="1:14" s="168" customFormat="1" ht="15" x14ac:dyDescent="0.25">
      <c r="A39" s="182"/>
    </row>
    <row r="40" spans="1:14" s="168" customFormat="1" x14ac:dyDescent="0.25">
      <c r="A40" s="167"/>
    </row>
    <row r="41" spans="1:14" s="168" customFormat="1" ht="36" customHeight="1" x14ac:dyDescent="0.25">
      <c r="A41" s="670" t="s">
        <v>129</v>
      </c>
      <c r="B41" s="670"/>
      <c r="C41" s="670"/>
      <c r="D41" s="670"/>
      <c r="E41" s="670"/>
      <c r="F41" s="670"/>
      <c r="G41" s="670"/>
      <c r="H41" s="670"/>
      <c r="I41" s="670"/>
      <c r="J41" s="670"/>
      <c r="K41" s="670"/>
      <c r="L41" s="670"/>
    </row>
    <row r="42" spans="1:14" s="168" customFormat="1" x14ac:dyDescent="0.25">
      <c r="A42" s="167"/>
    </row>
    <row r="43" spans="1:14" s="168" customFormat="1" x14ac:dyDescent="0.25">
      <c r="A43" s="167"/>
    </row>
    <row r="44" spans="1:14" s="168" customFormat="1" x14ac:dyDescent="0.25">
      <c r="A44" s="167"/>
      <c r="I44" s="168" t="s">
        <v>389</v>
      </c>
    </row>
    <row r="45" spans="1:14" s="168" customFormat="1" x14ac:dyDescent="0.25">
      <c r="A45" s="167"/>
    </row>
    <row r="46" spans="1:14" s="168" customFormat="1" x14ac:dyDescent="0.25">
      <c r="A46" s="167"/>
    </row>
    <row r="47" spans="1:14" s="168" customFormat="1" x14ac:dyDescent="0.25">
      <c r="A47" s="167"/>
    </row>
    <row r="48" spans="1:14" s="168" customFormat="1" x14ac:dyDescent="0.25">
      <c r="A48" s="167"/>
    </row>
    <row r="54" spans="1:13" x14ac:dyDescent="0.25">
      <c r="D54" s="128"/>
      <c r="E54" s="128"/>
      <c r="F54" s="128"/>
      <c r="G54" s="128"/>
      <c r="H54" s="128"/>
      <c r="I54" s="128"/>
      <c r="J54" s="128"/>
    </row>
    <row r="55" spans="1:13" x14ac:dyDescent="0.25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</row>
    <row r="56" spans="1:13" x14ac:dyDescent="0.2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</row>
    <row r="57" spans="1:13" x14ac:dyDescent="0.25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</row>
    <row r="58" spans="1:13" x14ac:dyDescent="0.2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</row>
    <row r="59" spans="1:13" x14ac:dyDescent="0.2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</row>
    <row r="60" spans="1:13" x14ac:dyDescent="0.2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</row>
    <row r="61" spans="1:13" x14ac:dyDescent="0.25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</row>
    <row r="62" spans="1:13" x14ac:dyDescent="0.25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</row>
    <row r="63" spans="1:13" x14ac:dyDescent="0.25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1:13" x14ac:dyDescent="0.25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1:13" x14ac:dyDescent="0.25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</row>
    <row r="66" spans="1:13" x14ac:dyDescent="0.25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</row>
    <row r="67" spans="1:13" x14ac:dyDescent="0.2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</row>
    <row r="68" spans="1:13" x14ac:dyDescent="0.25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1:13" x14ac:dyDescent="0.25">
      <c r="A69" s="128"/>
      <c r="B69" s="128"/>
      <c r="C69" s="128"/>
      <c r="K69" s="128"/>
      <c r="L69" s="128"/>
      <c r="M69" s="128"/>
    </row>
  </sheetData>
  <mergeCells count="13">
    <mergeCell ref="L7:L8"/>
    <mergeCell ref="M7:M8"/>
    <mergeCell ref="A41:L41"/>
    <mergeCell ref="A2:L2"/>
    <mergeCell ref="A5:A8"/>
    <mergeCell ref="B5:B8"/>
    <mergeCell ref="C5:D7"/>
    <mergeCell ref="E5:E8"/>
    <mergeCell ref="F5:F8"/>
    <mergeCell ref="G5:M6"/>
    <mergeCell ref="G7:I7"/>
    <mergeCell ref="J7:J8"/>
    <mergeCell ref="K7:K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tabColor theme="5" tint="-0.249977111117893"/>
  </sheetPr>
  <dimension ref="A2:N69"/>
  <sheetViews>
    <sheetView view="pageBreakPreview" zoomScale="85" zoomScaleNormal="100" zoomScaleSheetLayoutView="85" workbookViewId="0">
      <pane ySplit="9" topLeftCell="A22" activePane="bottomLeft" state="frozen"/>
      <selection pane="bottomLeft" activeCell="E34" sqref="E34"/>
    </sheetView>
  </sheetViews>
  <sheetFormatPr defaultRowHeight="12.75" x14ac:dyDescent="0.25"/>
  <cols>
    <col min="1" max="1" width="24.28515625" style="601" customWidth="1"/>
    <col min="2" max="2" width="14.42578125" style="602" customWidth="1"/>
    <col min="3" max="3" width="9.42578125" style="602" customWidth="1"/>
    <col min="4" max="4" width="12.28515625" style="602" customWidth="1"/>
    <col min="5" max="5" width="12.85546875" style="602" customWidth="1"/>
    <col min="6" max="6" width="33.42578125" style="602" customWidth="1"/>
    <col min="7" max="7" width="22.42578125" style="602" customWidth="1"/>
    <col min="8" max="8" width="20" style="602" customWidth="1"/>
    <col min="9" max="9" width="11.5703125" style="602" customWidth="1"/>
    <col min="10" max="10" width="20.5703125" style="602" customWidth="1"/>
    <col min="11" max="11" width="20.7109375" style="602" customWidth="1"/>
    <col min="12" max="13" width="21.28515625" style="602" customWidth="1"/>
    <col min="14" max="14" width="14.5703125" style="566" customWidth="1"/>
    <col min="15" max="15" width="17.5703125" style="566" customWidth="1"/>
    <col min="16" max="233" width="9.140625" style="566"/>
    <col min="234" max="234" width="31.140625" style="566" customWidth="1"/>
    <col min="235" max="236" width="9.85546875" style="566" customWidth="1"/>
    <col min="237" max="237" width="10.28515625" style="566" customWidth="1"/>
    <col min="238" max="238" width="11.42578125" style="566" customWidth="1"/>
    <col min="239" max="239" width="10.28515625" style="566" customWidth="1"/>
    <col min="240" max="241" width="9.140625" style="566"/>
    <col min="242" max="242" width="10.42578125" style="566" customWidth="1"/>
    <col min="243" max="243" width="8.7109375" style="566" customWidth="1"/>
    <col min="244" max="244" width="8.42578125" style="566" customWidth="1"/>
    <col min="245" max="247" width="9.28515625" style="566" bestFit="1" customWidth="1"/>
    <col min="248" max="248" width="8.140625" style="566" customWidth="1"/>
    <col min="249" max="249" width="8" style="566" customWidth="1"/>
    <col min="250" max="250" width="9.28515625" style="566" bestFit="1" customWidth="1"/>
    <col min="251" max="251" width="10.5703125" style="566" customWidth="1"/>
    <col min="252" max="253" width="9.28515625" style="566" bestFit="1" customWidth="1"/>
    <col min="254" max="254" width="10.42578125" style="566" customWidth="1"/>
    <col min="255" max="255" width="8.85546875" style="566" customWidth="1"/>
    <col min="256" max="256" width="7.7109375" style="566" customWidth="1"/>
    <col min="257" max="257" width="9" style="566" customWidth="1"/>
    <col min="258" max="258" width="11" style="566" customWidth="1"/>
    <col min="259" max="259" width="8.5703125" style="566" customWidth="1"/>
    <col min="260" max="260" width="10.7109375" style="566" customWidth="1"/>
    <col min="261" max="261" width="9.42578125" style="566" bestFit="1" customWidth="1"/>
    <col min="262" max="489" width="9.140625" style="566"/>
    <col min="490" max="490" width="31.140625" style="566" customWidth="1"/>
    <col min="491" max="492" width="9.85546875" style="566" customWidth="1"/>
    <col min="493" max="493" width="10.28515625" style="566" customWidth="1"/>
    <col min="494" max="494" width="11.42578125" style="566" customWidth="1"/>
    <col min="495" max="495" width="10.28515625" style="566" customWidth="1"/>
    <col min="496" max="497" width="9.140625" style="566"/>
    <col min="498" max="498" width="10.42578125" style="566" customWidth="1"/>
    <col min="499" max="499" width="8.7109375" style="566" customWidth="1"/>
    <col min="500" max="500" width="8.42578125" style="566" customWidth="1"/>
    <col min="501" max="503" width="9.28515625" style="566" bestFit="1" customWidth="1"/>
    <col min="504" max="504" width="8.140625" style="566" customWidth="1"/>
    <col min="505" max="505" width="8" style="566" customWidth="1"/>
    <col min="506" max="506" width="9.28515625" style="566" bestFit="1" customWidth="1"/>
    <col min="507" max="507" width="10.5703125" style="566" customWidth="1"/>
    <col min="508" max="509" width="9.28515625" style="566" bestFit="1" customWidth="1"/>
    <col min="510" max="510" width="10.42578125" style="566" customWidth="1"/>
    <col min="511" max="511" width="8.85546875" style="566" customWidth="1"/>
    <col min="512" max="512" width="7.7109375" style="566" customWidth="1"/>
    <col min="513" max="513" width="9" style="566" customWidth="1"/>
    <col min="514" max="514" width="11" style="566" customWidth="1"/>
    <col min="515" max="515" width="8.5703125" style="566" customWidth="1"/>
    <col min="516" max="516" width="10.7109375" style="566" customWidth="1"/>
    <col min="517" max="517" width="9.42578125" style="566" bestFit="1" customWidth="1"/>
    <col min="518" max="745" width="9.140625" style="566"/>
    <col min="746" max="746" width="31.140625" style="566" customWidth="1"/>
    <col min="747" max="748" width="9.85546875" style="566" customWidth="1"/>
    <col min="749" max="749" width="10.28515625" style="566" customWidth="1"/>
    <col min="750" max="750" width="11.42578125" style="566" customWidth="1"/>
    <col min="751" max="751" width="10.28515625" style="566" customWidth="1"/>
    <col min="752" max="753" width="9.140625" style="566"/>
    <col min="754" max="754" width="10.42578125" style="566" customWidth="1"/>
    <col min="755" max="755" width="8.7109375" style="566" customWidth="1"/>
    <col min="756" max="756" width="8.42578125" style="566" customWidth="1"/>
    <col min="757" max="759" width="9.28515625" style="566" bestFit="1" customWidth="1"/>
    <col min="760" max="760" width="8.140625" style="566" customWidth="1"/>
    <col min="761" max="761" width="8" style="566" customWidth="1"/>
    <col min="762" max="762" width="9.28515625" style="566" bestFit="1" customWidth="1"/>
    <col min="763" max="763" width="10.5703125" style="566" customWidth="1"/>
    <col min="764" max="765" width="9.28515625" style="566" bestFit="1" customWidth="1"/>
    <col min="766" max="766" width="10.42578125" style="566" customWidth="1"/>
    <col min="767" max="767" width="8.85546875" style="566" customWidth="1"/>
    <col min="768" max="768" width="7.7109375" style="566" customWidth="1"/>
    <col min="769" max="769" width="9" style="566" customWidth="1"/>
    <col min="770" max="770" width="11" style="566" customWidth="1"/>
    <col min="771" max="771" width="8.5703125" style="566" customWidth="1"/>
    <col min="772" max="772" width="10.7109375" style="566" customWidth="1"/>
    <col min="773" max="773" width="9.42578125" style="566" bestFit="1" customWidth="1"/>
    <col min="774" max="1001" width="9.140625" style="566"/>
    <col min="1002" max="1002" width="31.140625" style="566" customWidth="1"/>
    <col min="1003" max="1004" width="9.85546875" style="566" customWidth="1"/>
    <col min="1005" max="1005" width="10.28515625" style="566" customWidth="1"/>
    <col min="1006" max="1006" width="11.42578125" style="566" customWidth="1"/>
    <col min="1007" max="1007" width="10.28515625" style="566" customWidth="1"/>
    <col min="1008" max="1009" width="9.140625" style="566"/>
    <col min="1010" max="1010" width="10.42578125" style="566" customWidth="1"/>
    <col min="1011" max="1011" width="8.7109375" style="566" customWidth="1"/>
    <col min="1012" max="1012" width="8.42578125" style="566" customWidth="1"/>
    <col min="1013" max="1015" width="9.28515625" style="566" bestFit="1" customWidth="1"/>
    <col min="1016" max="1016" width="8.140625" style="566" customWidth="1"/>
    <col min="1017" max="1017" width="8" style="566" customWidth="1"/>
    <col min="1018" max="1018" width="9.28515625" style="566" bestFit="1" customWidth="1"/>
    <col min="1019" max="1019" width="10.5703125" style="566" customWidth="1"/>
    <col min="1020" max="1021" width="9.28515625" style="566" bestFit="1" customWidth="1"/>
    <col min="1022" max="1022" width="10.42578125" style="566" customWidth="1"/>
    <col min="1023" max="1023" width="8.85546875" style="566" customWidth="1"/>
    <col min="1024" max="1024" width="7.7109375" style="566" customWidth="1"/>
    <col min="1025" max="1025" width="9" style="566" customWidth="1"/>
    <col min="1026" max="1026" width="11" style="566" customWidth="1"/>
    <col min="1027" max="1027" width="8.5703125" style="566" customWidth="1"/>
    <col min="1028" max="1028" width="10.7109375" style="566" customWidth="1"/>
    <col min="1029" max="1029" width="9.42578125" style="566" bestFit="1" customWidth="1"/>
    <col min="1030" max="1257" width="9.140625" style="566"/>
    <col min="1258" max="1258" width="31.140625" style="566" customWidth="1"/>
    <col min="1259" max="1260" width="9.85546875" style="566" customWidth="1"/>
    <col min="1261" max="1261" width="10.28515625" style="566" customWidth="1"/>
    <col min="1262" max="1262" width="11.42578125" style="566" customWidth="1"/>
    <col min="1263" max="1263" width="10.28515625" style="566" customWidth="1"/>
    <col min="1264" max="1265" width="9.140625" style="566"/>
    <col min="1266" max="1266" width="10.42578125" style="566" customWidth="1"/>
    <col min="1267" max="1267" width="8.7109375" style="566" customWidth="1"/>
    <col min="1268" max="1268" width="8.42578125" style="566" customWidth="1"/>
    <col min="1269" max="1271" width="9.28515625" style="566" bestFit="1" customWidth="1"/>
    <col min="1272" max="1272" width="8.140625" style="566" customWidth="1"/>
    <col min="1273" max="1273" width="8" style="566" customWidth="1"/>
    <col min="1274" max="1274" width="9.28515625" style="566" bestFit="1" customWidth="1"/>
    <col min="1275" max="1275" width="10.5703125" style="566" customWidth="1"/>
    <col min="1276" max="1277" width="9.28515625" style="566" bestFit="1" customWidth="1"/>
    <col min="1278" max="1278" width="10.42578125" style="566" customWidth="1"/>
    <col min="1279" max="1279" width="8.85546875" style="566" customWidth="1"/>
    <col min="1280" max="1280" width="7.7109375" style="566" customWidth="1"/>
    <col min="1281" max="1281" width="9" style="566" customWidth="1"/>
    <col min="1282" max="1282" width="11" style="566" customWidth="1"/>
    <col min="1283" max="1283" width="8.5703125" style="566" customWidth="1"/>
    <col min="1284" max="1284" width="10.7109375" style="566" customWidth="1"/>
    <col min="1285" max="1285" width="9.42578125" style="566" bestFit="1" customWidth="1"/>
    <col min="1286" max="1513" width="9.140625" style="566"/>
    <col min="1514" max="1514" width="31.140625" style="566" customWidth="1"/>
    <col min="1515" max="1516" width="9.85546875" style="566" customWidth="1"/>
    <col min="1517" max="1517" width="10.28515625" style="566" customWidth="1"/>
    <col min="1518" max="1518" width="11.42578125" style="566" customWidth="1"/>
    <col min="1519" max="1519" width="10.28515625" style="566" customWidth="1"/>
    <col min="1520" max="1521" width="9.140625" style="566"/>
    <col min="1522" max="1522" width="10.42578125" style="566" customWidth="1"/>
    <col min="1523" max="1523" width="8.7109375" style="566" customWidth="1"/>
    <col min="1524" max="1524" width="8.42578125" style="566" customWidth="1"/>
    <col min="1525" max="1527" width="9.28515625" style="566" bestFit="1" customWidth="1"/>
    <col min="1528" max="1528" width="8.140625" style="566" customWidth="1"/>
    <col min="1529" max="1529" width="8" style="566" customWidth="1"/>
    <col min="1530" max="1530" width="9.28515625" style="566" bestFit="1" customWidth="1"/>
    <col min="1531" max="1531" width="10.5703125" style="566" customWidth="1"/>
    <col min="1532" max="1533" width="9.28515625" style="566" bestFit="1" customWidth="1"/>
    <col min="1534" max="1534" width="10.42578125" style="566" customWidth="1"/>
    <col min="1535" max="1535" width="8.85546875" style="566" customWidth="1"/>
    <col min="1536" max="1536" width="7.7109375" style="566" customWidth="1"/>
    <col min="1537" max="1537" width="9" style="566" customWidth="1"/>
    <col min="1538" max="1538" width="11" style="566" customWidth="1"/>
    <col min="1539" max="1539" width="8.5703125" style="566" customWidth="1"/>
    <col min="1540" max="1540" width="10.7109375" style="566" customWidth="1"/>
    <col min="1541" max="1541" width="9.42578125" style="566" bestFit="1" customWidth="1"/>
    <col min="1542" max="1769" width="9.140625" style="566"/>
    <col min="1770" max="1770" width="31.140625" style="566" customWidth="1"/>
    <col min="1771" max="1772" width="9.85546875" style="566" customWidth="1"/>
    <col min="1773" max="1773" width="10.28515625" style="566" customWidth="1"/>
    <col min="1774" max="1774" width="11.42578125" style="566" customWidth="1"/>
    <col min="1775" max="1775" width="10.28515625" style="566" customWidth="1"/>
    <col min="1776" max="1777" width="9.140625" style="566"/>
    <col min="1778" max="1778" width="10.42578125" style="566" customWidth="1"/>
    <col min="1779" max="1779" width="8.7109375" style="566" customWidth="1"/>
    <col min="1780" max="1780" width="8.42578125" style="566" customWidth="1"/>
    <col min="1781" max="1783" width="9.28515625" style="566" bestFit="1" customWidth="1"/>
    <col min="1784" max="1784" width="8.140625" style="566" customWidth="1"/>
    <col min="1785" max="1785" width="8" style="566" customWidth="1"/>
    <col min="1786" max="1786" width="9.28515625" style="566" bestFit="1" customWidth="1"/>
    <col min="1787" max="1787" width="10.5703125" style="566" customWidth="1"/>
    <col min="1788" max="1789" width="9.28515625" style="566" bestFit="1" customWidth="1"/>
    <col min="1790" max="1790" width="10.42578125" style="566" customWidth="1"/>
    <col min="1791" max="1791" width="8.85546875" style="566" customWidth="1"/>
    <col min="1792" max="1792" width="7.7109375" style="566" customWidth="1"/>
    <col min="1793" max="1793" width="9" style="566" customWidth="1"/>
    <col min="1794" max="1794" width="11" style="566" customWidth="1"/>
    <col min="1795" max="1795" width="8.5703125" style="566" customWidth="1"/>
    <col min="1796" max="1796" width="10.7109375" style="566" customWidth="1"/>
    <col min="1797" max="1797" width="9.42578125" style="566" bestFit="1" customWidth="1"/>
    <col min="1798" max="2025" width="9.140625" style="566"/>
    <col min="2026" max="2026" width="31.140625" style="566" customWidth="1"/>
    <col min="2027" max="2028" width="9.85546875" style="566" customWidth="1"/>
    <col min="2029" max="2029" width="10.28515625" style="566" customWidth="1"/>
    <col min="2030" max="2030" width="11.42578125" style="566" customWidth="1"/>
    <col min="2031" max="2031" width="10.28515625" style="566" customWidth="1"/>
    <col min="2032" max="2033" width="9.140625" style="566"/>
    <col min="2034" max="2034" width="10.42578125" style="566" customWidth="1"/>
    <col min="2035" max="2035" width="8.7109375" style="566" customWidth="1"/>
    <col min="2036" max="2036" width="8.42578125" style="566" customWidth="1"/>
    <col min="2037" max="2039" width="9.28515625" style="566" bestFit="1" customWidth="1"/>
    <col min="2040" max="2040" width="8.140625" style="566" customWidth="1"/>
    <col min="2041" max="2041" width="8" style="566" customWidth="1"/>
    <col min="2042" max="2042" width="9.28515625" style="566" bestFit="1" customWidth="1"/>
    <col min="2043" max="2043" width="10.5703125" style="566" customWidth="1"/>
    <col min="2044" max="2045" width="9.28515625" style="566" bestFit="1" customWidth="1"/>
    <col min="2046" max="2046" width="10.42578125" style="566" customWidth="1"/>
    <col min="2047" max="2047" width="8.85546875" style="566" customWidth="1"/>
    <col min="2048" max="2048" width="7.7109375" style="566" customWidth="1"/>
    <col min="2049" max="2049" width="9" style="566" customWidth="1"/>
    <col min="2050" max="2050" width="11" style="566" customWidth="1"/>
    <col min="2051" max="2051" width="8.5703125" style="566" customWidth="1"/>
    <col min="2052" max="2052" width="10.7109375" style="566" customWidth="1"/>
    <col min="2053" max="2053" width="9.42578125" style="566" bestFit="1" customWidth="1"/>
    <col min="2054" max="2281" width="9.140625" style="566"/>
    <col min="2282" max="2282" width="31.140625" style="566" customWidth="1"/>
    <col min="2283" max="2284" width="9.85546875" style="566" customWidth="1"/>
    <col min="2285" max="2285" width="10.28515625" style="566" customWidth="1"/>
    <col min="2286" max="2286" width="11.42578125" style="566" customWidth="1"/>
    <col min="2287" max="2287" width="10.28515625" style="566" customWidth="1"/>
    <col min="2288" max="2289" width="9.140625" style="566"/>
    <col min="2290" max="2290" width="10.42578125" style="566" customWidth="1"/>
    <col min="2291" max="2291" width="8.7109375" style="566" customWidth="1"/>
    <col min="2292" max="2292" width="8.42578125" style="566" customWidth="1"/>
    <col min="2293" max="2295" width="9.28515625" style="566" bestFit="1" customWidth="1"/>
    <col min="2296" max="2296" width="8.140625" style="566" customWidth="1"/>
    <col min="2297" max="2297" width="8" style="566" customWidth="1"/>
    <col min="2298" max="2298" width="9.28515625" style="566" bestFit="1" customWidth="1"/>
    <col min="2299" max="2299" width="10.5703125" style="566" customWidth="1"/>
    <col min="2300" max="2301" width="9.28515625" style="566" bestFit="1" customWidth="1"/>
    <col min="2302" max="2302" width="10.42578125" style="566" customWidth="1"/>
    <col min="2303" max="2303" width="8.85546875" style="566" customWidth="1"/>
    <col min="2304" max="2304" width="7.7109375" style="566" customWidth="1"/>
    <col min="2305" max="2305" width="9" style="566" customWidth="1"/>
    <col min="2306" max="2306" width="11" style="566" customWidth="1"/>
    <col min="2307" max="2307" width="8.5703125" style="566" customWidth="1"/>
    <col min="2308" max="2308" width="10.7109375" style="566" customWidth="1"/>
    <col min="2309" max="2309" width="9.42578125" style="566" bestFit="1" customWidth="1"/>
    <col min="2310" max="2537" width="9.140625" style="566"/>
    <col min="2538" max="2538" width="31.140625" style="566" customWidth="1"/>
    <col min="2539" max="2540" width="9.85546875" style="566" customWidth="1"/>
    <col min="2541" max="2541" width="10.28515625" style="566" customWidth="1"/>
    <col min="2542" max="2542" width="11.42578125" style="566" customWidth="1"/>
    <col min="2543" max="2543" width="10.28515625" style="566" customWidth="1"/>
    <col min="2544" max="2545" width="9.140625" style="566"/>
    <col min="2546" max="2546" width="10.42578125" style="566" customWidth="1"/>
    <col min="2547" max="2547" width="8.7109375" style="566" customWidth="1"/>
    <col min="2548" max="2548" width="8.42578125" style="566" customWidth="1"/>
    <col min="2549" max="2551" width="9.28515625" style="566" bestFit="1" customWidth="1"/>
    <col min="2552" max="2552" width="8.140625" style="566" customWidth="1"/>
    <col min="2553" max="2553" width="8" style="566" customWidth="1"/>
    <col min="2554" max="2554" width="9.28515625" style="566" bestFit="1" customWidth="1"/>
    <col min="2555" max="2555" width="10.5703125" style="566" customWidth="1"/>
    <col min="2556" max="2557" width="9.28515625" style="566" bestFit="1" customWidth="1"/>
    <col min="2558" max="2558" width="10.42578125" style="566" customWidth="1"/>
    <col min="2559" max="2559" width="8.85546875" style="566" customWidth="1"/>
    <col min="2560" max="2560" width="7.7109375" style="566" customWidth="1"/>
    <col min="2561" max="2561" width="9" style="566" customWidth="1"/>
    <col min="2562" max="2562" width="11" style="566" customWidth="1"/>
    <col min="2563" max="2563" width="8.5703125" style="566" customWidth="1"/>
    <col min="2564" max="2564" width="10.7109375" style="566" customWidth="1"/>
    <col min="2565" max="2565" width="9.42578125" style="566" bestFit="1" customWidth="1"/>
    <col min="2566" max="2793" width="9.140625" style="566"/>
    <col min="2794" max="2794" width="31.140625" style="566" customWidth="1"/>
    <col min="2795" max="2796" width="9.85546875" style="566" customWidth="1"/>
    <col min="2797" max="2797" width="10.28515625" style="566" customWidth="1"/>
    <col min="2798" max="2798" width="11.42578125" style="566" customWidth="1"/>
    <col min="2799" max="2799" width="10.28515625" style="566" customWidth="1"/>
    <col min="2800" max="2801" width="9.140625" style="566"/>
    <col min="2802" max="2802" width="10.42578125" style="566" customWidth="1"/>
    <col min="2803" max="2803" width="8.7109375" style="566" customWidth="1"/>
    <col min="2804" max="2804" width="8.42578125" style="566" customWidth="1"/>
    <col min="2805" max="2807" width="9.28515625" style="566" bestFit="1" customWidth="1"/>
    <col min="2808" max="2808" width="8.140625" style="566" customWidth="1"/>
    <col min="2809" max="2809" width="8" style="566" customWidth="1"/>
    <col min="2810" max="2810" width="9.28515625" style="566" bestFit="1" customWidth="1"/>
    <col min="2811" max="2811" width="10.5703125" style="566" customWidth="1"/>
    <col min="2812" max="2813" width="9.28515625" style="566" bestFit="1" customWidth="1"/>
    <col min="2814" max="2814" width="10.42578125" style="566" customWidth="1"/>
    <col min="2815" max="2815" width="8.85546875" style="566" customWidth="1"/>
    <col min="2816" max="2816" width="7.7109375" style="566" customWidth="1"/>
    <col min="2817" max="2817" width="9" style="566" customWidth="1"/>
    <col min="2818" max="2818" width="11" style="566" customWidth="1"/>
    <col min="2819" max="2819" width="8.5703125" style="566" customWidth="1"/>
    <col min="2820" max="2820" width="10.7109375" style="566" customWidth="1"/>
    <col min="2821" max="2821" width="9.42578125" style="566" bestFit="1" customWidth="1"/>
    <col min="2822" max="3049" width="9.140625" style="566"/>
    <col min="3050" max="3050" width="31.140625" style="566" customWidth="1"/>
    <col min="3051" max="3052" width="9.85546875" style="566" customWidth="1"/>
    <col min="3053" max="3053" width="10.28515625" style="566" customWidth="1"/>
    <col min="3054" max="3054" width="11.42578125" style="566" customWidth="1"/>
    <col min="3055" max="3055" width="10.28515625" style="566" customWidth="1"/>
    <col min="3056" max="3057" width="9.140625" style="566"/>
    <col min="3058" max="3058" width="10.42578125" style="566" customWidth="1"/>
    <col min="3059" max="3059" width="8.7109375" style="566" customWidth="1"/>
    <col min="3060" max="3060" width="8.42578125" style="566" customWidth="1"/>
    <col min="3061" max="3063" width="9.28515625" style="566" bestFit="1" customWidth="1"/>
    <col min="3064" max="3064" width="8.140625" style="566" customWidth="1"/>
    <col min="3065" max="3065" width="8" style="566" customWidth="1"/>
    <col min="3066" max="3066" width="9.28515625" style="566" bestFit="1" customWidth="1"/>
    <col min="3067" max="3067" width="10.5703125" style="566" customWidth="1"/>
    <col min="3068" max="3069" width="9.28515625" style="566" bestFit="1" customWidth="1"/>
    <col min="3070" max="3070" width="10.42578125" style="566" customWidth="1"/>
    <col min="3071" max="3071" width="8.85546875" style="566" customWidth="1"/>
    <col min="3072" max="3072" width="7.7109375" style="566" customWidth="1"/>
    <col min="3073" max="3073" width="9" style="566" customWidth="1"/>
    <col min="3074" max="3074" width="11" style="566" customWidth="1"/>
    <col min="3075" max="3075" width="8.5703125" style="566" customWidth="1"/>
    <col min="3076" max="3076" width="10.7109375" style="566" customWidth="1"/>
    <col min="3077" max="3077" width="9.42578125" style="566" bestFit="1" customWidth="1"/>
    <col min="3078" max="3305" width="9.140625" style="566"/>
    <col min="3306" max="3306" width="31.140625" style="566" customWidth="1"/>
    <col min="3307" max="3308" width="9.85546875" style="566" customWidth="1"/>
    <col min="3309" max="3309" width="10.28515625" style="566" customWidth="1"/>
    <col min="3310" max="3310" width="11.42578125" style="566" customWidth="1"/>
    <col min="3311" max="3311" width="10.28515625" style="566" customWidth="1"/>
    <col min="3312" max="3313" width="9.140625" style="566"/>
    <col min="3314" max="3314" width="10.42578125" style="566" customWidth="1"/>
    <col min="3315" max="3315" width="8.7109375" style="566" customWidth="1"/>
    <col min="3316" max="3316" width="8.42578125" style="566" customWidth="1"/>
    <col min="3317" max="3319" width="9.28515625" style="566" bestFit="1" customWidth="1"/>
    <col min="3320" max="3320" width="8.140625" style="566" customWidth="1"/>
    <col min="3321" max="3321" width="8" style="566" customWidth="1"/>
    <col min="3322" max="3322" width="9.28515625" style="566" bestFit="1" customWidth="1"/>
    <col min="3323" max="3323" width="10.5703125" style="566" customWidth="1"/>
    <col min="3324" max="3325" width="9.28515625" style="566" bestFit="1" customWidth="1"/>
    <col min="3326" max="3326" width="10.42578125" style="566" customWidth="1"/>
    <col min="3327" max="3327" width="8.85546875" style="566" customWidth="1"/>
    <col min="3328" max="3328" width="7.7109375" style="566" customWidth="1"/>
    <col min="3329" max="3329" width="9" style="566" customWidth="1"/>
    <col min="3330" max="3330" width="11" style="566" customWidth="1"/>
    <col min="3331" max="3331" width="8.5703125" style="566" customWidth="1"/>
    <col min="3332" max="3332" width="10.7109375" style="566" customWidth="1"/>
    <col min="3333" max="3333" width="9.42578125" style="566" bestFit="1" customWidth="1"/>
    <col min="3334" max="3561" width="9.140625" style="566"/>
    <col min="3562" max="3562" width="31.140625" style="566" customWidth="1"/>
    <col min="3563" max="3564" width="9.85546875" style="566" customWidth="1"/>
    <col min="3565" max="3565" width="10.28515625" style="566" customWidth="1"/>
    <col min="3566" max="3566" width="11.42578125" style="566" customWidth="1"/>
    <col min="3567" max="3567" width="10.28515625" style="566" customWidth="1"/>
    <col min="3568" max="3569" width="9.140625" style="566"/>
    <col min="3570" max="3570" width="10.42578125" style="566" customWidth="1"/>
    <col min="3571" max="3571" width="8.7109375" style="566" customWidth="1"/>
    <col min="3572" max="3572" width="8.42578125" style="566" customWidth="1"/>
    <col min="3573" max="3575" width="9.28515625" style="566" bestFit="1" customWidth="1"/>
    <col min="3576" max="3576" width="8.140625" style="566" customWidth="1"/>
    <col min="3577" max="3577" width="8" style="566" customWidth="1"/>
    <col min="3578" max="3578" width="9.28515625" style="566" bestFit="1" customWidth="1"/>
    <col min="3579" max="3579" width="10.5703125" style="566" customWidth="1"/>
    <col min="3580" max="3581" width="9.28515625" style="566" bestFit="1" customWidth="1"/>
    <col min="3582" max="3582" width="10.42578125" style="566" customWidth="1"/>
    <col min="3583" max="3583" width="8.85546875" style="566" customWidth="1"/>
    <col min="3584" max="3584" width="7.7109375" style="566" customWidth="1"/>
    <col min="3585" max="3585" width="9" style="566" customWidth="1"/>
    <col min="3586" max="3586" width="11" style="566" customWidth="1"/>
    <col min="3587" max="3587" width="8.5703125" style="566" customWidth="1"/>
    <col min="3588" max="3588" width="10.7109375" style="566" customWidth="1"/>
    <col min="3589" max="3589" width="9.42578125" style="566" bestFit="1" customWidth="1"/>
    <col min="3590" max="3817" width="9.140625" style="566"/>
    <col min="3818" max="3818" width="31.140625" style="566" customWidth="1"/>
    <col min="3819" max="3820" width="9.85546875" style="566" customWidth="1"/>
    <col min="3821" max="3821" width="10.28515625" style="566" customWidth="1"/>
    <col min="3822" max="3822" width="11.42578125" style="566" customWidth="1"/>
    <col min="3823" max="3823" width="10.28515625" style="566" customWidth="1"/>
    <col min="3824" max="3825" width="9.140625" style="566"/>
    <col min="3826" max="3826" width="10.42578125" style="566" customWidth="1"/>
    <col min="3827" max="3827" width="8.7109375" style="566" customWidth="1"/>
    <col min="3828" max="3828" width="8.42578125" style="566" customWidth="1"/>
    <col min="3829" max="3831" width="9.28515625" style="566" bestFit="1" customWidth="1"/>
    <col min="3832" max="3832" width="8.140625" style="566" customWidth="1"/>
    <col min="3833" max="3833" width="8" style="566" customWidth="1"/>
    <col min="3834" max="3834" width="9.28515625" style="566" bestFit="1" customWidth="1"/>
    <col min="3835" max="3835" width="10.5703125" style="566" customWidth="1"/>
    <col min="3836" max="3837" width="9.28515625" style="566" bestFit="1" customWidth="1"/>
    <col min="3838" max="3838" width="10.42578125" style="566" customWidth="1"/>
    <col min="3839" max="3839" width="8.85546875" style="566" customWidth="1"/>
    <col min="3840" max="3840" width="7.7109375" style="566" customWidth="1"/>
    <col min="3841" max="3841" width="9" style="566" customWidth="1"/>
    <col min="3842" max="3842" width="11" style="566" customWidth="1"/>
    <col min="3843" max="3843" width="8.5703125" style="566" customWidth="1"/>
    <col min="3844" max="3844" width="10.7109375" style="566" customWidth="1"/>
    <col min="3845" max="3845" width="9.42578125" style="566" bestFit="1" customWidth="1"/>
    <col min="3846" max="4073" width="9.140625" style="566"/>
    <col min="4074" max="4074" width="31.140625" style="566" customWidth="1"/>
    <col min="4075" max="4076" width="9.85546875" style="566" customWidth="1"/>
    <col min="4077" max="4077" width="10.28515625" style="566" customWidth="1"/>
    <col min="4078" max="4078" width="11.42578125" style="566" customWidth="1"/>
    <col min="4079" max="4079" width="10.28515625" style="566" customWidth="1"/>
    <col min="4080" max="4081" width="9.140625" style="566"/>
    <col min="4082" max="4082" width="10.42578125" style="566" customWidth="1"/>
    <col min="4083" max="4083" width="8.7109375" style="566" customWidth="1"/>
    <col min="4084" max="4084" width="8.42578125" style="566" customWidth="1"/>
    <col min="4085" max="4087" width="9.28515625" style="566" bestFit="1" customWidth="1"/>
    <col min="4088" max="4088" width="8.140625" style="566" customWidth="1"/>
    <col min="4089" max="4089" width="8" style="566" customWidth="1"/>
    <col min="4090" max="4090" width="9.28515625" style="566" bestFit="1" customWidth="1"/>
    <col min="4091" max="4091" width="10.5703125" style="566" customWidth="1"/>
    <col min="4092" max="4093" width="9.28515625" style="566" bestFit="1" customWidth="1"/>
    <col min="4094" max="4094" width="10.42578125" style="566" customWidth="1"/>
    <col min="4095" max="4095" width="8.85546875" style="566" customWidth="1"/>
    <col min="4096" max="4096" width="7.7109375" style="566" customWidth="1"/>
    <col min="4097" max="4097" width="9" style="566" customWidth="1"/>
    <col min="4098" max="4098" width="11" style="566" customWidth="1"/>
    <col min="4099" max="4099" width="8.5703125" style="566" customWidth="1"/>
    <col min="4100" max="4100" width="10.7109375" style="566" customWidth="1"/>
    <col min="4101" max="4101" width="9.42578125" style="566" bestFit="1" customWidth="1"/>
    <col min="4102" max="4329" width="9.140625" style="566"/>
    <col min="4330" max="4330" width="31.140625" style="566" customWidth="1"/>
    <col min="4331" max="4332" width="9.85546875" style="566" customWidth="1"/>
    <col min="4333" max="4333" width="10.28515625" style="566" customWidth="1"/>
    <col min="4334" max="4334" width="11.42578125" style="566" customWidth="1"/>
    <col min="4335" max="4335" width="10.28515625" style="566" customWidth="1"/>
    <col min="4336" max="4337" width="9.140625" style="566"/>
    <col min="4338" max="4338" width="10.42578125" style="566" customWidth="1"/>
    <col min="4339" max="4339" width="8.7109375" style="566" customWidth="1"/>
    <col min="4340" max="4340" width="8.42578125" style="566" customWidth="1"/>
    <col min="4341" max="4343" width="9.28515625" style="566" bestFit="1" customWidth="1"/>
    <col min="4344" max="4344" width="8.140625" style="566" customWidth="1"/>
    <col min="4345" max="4345" width="8" style="566" customWidth="1"/>
    <col min="4346" max="4346" width="9.28515625" style="566" bestFit="1" customWidth="1"/>
    <col min="4347" max="4347" width="10.5703125" style="566" customWidth="1"/>
    <col min="4348" max="4349" width="9.28515625" style="566" bestFit="1" customWidth="1"/>
    <col min="4350" max="4350" width="10.42578125" style="566" customWidth="1"/>
    <col min="4351" max="4351" width="8.85546875" style="566" customWidth="1"/>
    <col min="4352" max="4352" width="7.7109375" style="566" customWidth="1"/>
    <col min="4353" max="4353" width="9" style="566" customWidth="1"/>
    <col min="4354" max="4354" width="11" style="566" customWidth="1"/>
    <col min="4355" max="4355" width="8.5703125" style="566" customWidth="1"/>
    <col min="4356" max="4356" width="10.7109375" style="566" customWidth="1"/>
    <col min="4357" max="4357" width="9.42578125" style="566" bestFit="1" customWidth="1"/>
    <col min="4358" max="4585" width="9.140625" style="566"/>
    <col min="4586" max="4586" width="31.140625" style="566" customWidth="1"/>
    <col min="4587" max="4588" width="9.85546875" style="566" customWidth="1"/>
    <col min="4589" max="4589" width="10.28515625" style="566" customWidth="1"/>
    <col min="4590" max="4590" width="11.42578125" style="566" customWidth="1"/>
    <col min="4591" max="4591" width="10.28515625" style="566" customWidth="1"/>
    <col min="4592" max="4593" width="9.140625" style="566"/>
    <col min="4594" max="4594" width="10.42578125" style="566" customWidth="1"/>
    <col min="4595" max="4595" width="8.7109375" style="566" customWidth="1"/>
    <col min="4596" max="4596" width="8.42578125" style="566" customWidth="1"/>
    <col min="4597" max="4599" width="9.28515625" style="566" bestFit="1" customWidth="1"/>
    <col min="4600" max="4600" width="8.140625" style="566" customWidth="1"/>
    <col min="4601" max="4601" width="8" style="566" customWidth="1"/>
    <col min="4602" max="4602" width="9.28515625" style="566" bestFit="1" customWidth="1"/>
    <col min="4603" max="4603" width="10.5703125" style="566" customWidth="1"/>
    <col min="4604" max="4605" width="9.28515625" style="566" bestFit="1" customWidth="1"/>
    <col min="4606" max="4606" width="10.42578125" style="566" customWidth="1"/>
    <col min="4607" max="4607" width="8.85546875" style="566" customWidth="1"/>
    <col min="4608" max="4608" width="7.7109375" style="566" customWidth="1"/>
    <col min="4609" max="4609" width="9" style="566" customWidth="1"/>
    <col min="4610" max="4610" width="11" style="566" customWidth="1"/>
    <col min="4611" max="4611" width="8.5703125" style="566" customWidth="1"/>
    <col min="4612" max="4612" width="10.7109375" style="566" customWidth="1"/>
    <col min="4613" max="4613" width="9.42578125" style="566" bestFit="1" customWidth="1"/>
    <col min="4614" max="4841" width="9.140625" style="566"/>
    <col min="4842" max="4842" width="31.140625" style="566" customWidth="1"/>
    <col min="4843" max="4844" width="9.85546875" style="566" customWidth="1"/>
    <col min="4845" max="4845" width="10.28515625" style="566" customWidth="1"/>
    <col min="4846" max="4846" width="11.42578125" style="566" customWidth="1"/>
    <col min="4847" max="4847" width="10.28515625" style="566" customWidth="1"/>
    <col min="4848" max="4849" width="9.140625" style="566"/>
    <col min="4850" max="4850" width="10.42578125" style="566" customWidth="1"/>
    <col min="4851" max="4851" width="8.7109375" style="566" customWidth="1"/>
    <col min="4852" max="4852" width="8.42578125" style="566" customWidth="1"/>
    <col min="4853" max="4855" width="9.28515625" style="566" bestFit="1" customWidth="1"/>
    <col min="4856" max="4856" width="8.140625" style="566" customWidth="1"/>
    <col min="4857" max="4857" width="8" style="566" customWidth="1"/>
    <col min="4858" max="4858" width="9.28515625" style="566" bestFit="1" customWidth="1"/>
    <col min="4859" max="4859" width="10.5703125" style="566" customWidth="1"/>
    <col min="4860" max="4861" width="9.28515625" style="566" bestFit="1" customWidth="1"/>
    <col min="4862" max="4862" width="10.42578125" style="566" customWidth="1"/>
    <col min="4863" max="4863" width="8.85546875" style="566" customWidth="1"/>
    <col min="4864" max="4864" width="7.7109375" style="566" customWidth="1"/>
    <col min="4865" max="4865" width="9" style="566" customWidth="1"/>
    <col min="4866" max="4866" width="11" style="566" customWidth="1"/>
    <col min="4867" max="4867" width="8.5703125" style="566" customWidth="1"/>
    <col min="4868" max="4868" width="10.7109375" style="566" customWidth="1"/>
    <col min="4869" max="4869" width="9.42578125" style="566" bestFit="1" customWidth="1"/>
    <col min="4870" max="5097" width="9.140625" style="566"/>
    <col min="5098" max="5098" width="31.140625" style="566" customWidth="1"/>
    <col min="5099" max="5100" width="9.85546875" style="566" customWidth="1"/>
    <col min="5101" max="5101" width="10.28515625" style="566" customWidth="1"/>
    <col min="5102" max="5102" width="11.42578125" style="566" customWidth="1"/>
    <col min="5103" max="5103" width="10.28515625" style="566" customWidth="1"/>
    <col min="5104" max="5105" width="9.140625" style="566"/>
    <col min="5106" max="5106" width="10.42578125" style="566" customWidth="1"/>
    <col min="5107" max="5107" width="8.7109375" style="566" customWidth="1"/>
    <col min="5108" max="5108" width="8.42578125" style="566" customWidth="1"/>
    <col min="5109" max="5111" width="9.28515625" style="566" bestFit="1" customWidth="1"/>
    <col min="5112" max="5112" width="8.140625" style="566" customWidth="1"/>
    <col min="5113" max="5113" width="8" style="566" customWidth="1"/>
    <col min="5114" max="5114" width="9.28515625" style="566" bestFit="1" customWidth="1"/>
    <col min="5115" max="5115" width="10.5703125" style="566" customWidth="1"/>
    <col min="5116" max="5117" width="9.28515625" style="566" bestFit="1" customWidth="1"/>
    <col min="5118" max="5118" width="10.42578125" style="566" customWidth="1"/>
    <col min="5119" max="5119" width="8.85546875" style="566" customWidth="1"/>
    <col min="5120" max="5120" width="7.7109375" style="566" customWidth="1"/>
    <col min="5121" max="5121" width="9" style="566" customWidth="1"/>
    <col min="5122" max="5122" width="11" style="566" customWidth="1"/>
    <col min="5123" max="5123" width="8.5703125" style="566" customWidth="1"/>
    <col min="5124" max="5124" width="10.7109375" style="566" customWidth="1"/>
    <col min="5125" max="5125" width="9.42578125" style="566" bestFit="1" customWidth="1"/>
    <col min="5126" max="5353" width="9.140625" style="566"/>
    <col min="5354" max="5354" width="31.140625" style="566" customWidth="1"/>
    <col min="5355" max="5356" width="9.85546875" style="566" customWidth="1"/>
    <col min="5357" max="5357" width="10.28515625" style="566" customWidth="1"/>
    <col min="5358" max="5358" width="11.42578125" style="566" customWidth="1"/>
    <col min="5359" max="5359" width="10.28515625" style="566" customWidth="1"/>
    <col min="5360" max="5361" width="9.140625" style="566"/>
    <col min="5362" max="5362" width="10.42578125" style="566" customWidth="1"/>
    <col min="5363" max="5363" width="8.7109375" style="566" customWidth="1"/>
    <col min="5364" max="5364" width="8.42578125" style="566" customWidth="1"/>
    <col min="5365" max="5367" width="9.28515625" style="566" bestFit="1" customWidth="1"/>
    <col min="5368" max="5368" width="8.140625" style="566" customWidth="1"/>
    <col min="5369" max="5369" width="8" style="566" customWidth="1"/>
    <col min="5370" max="5370" width="9.28515625" style="566" bestFit="1" customWidth="1"/>
    <col min="5371" max="5371" width="10.5703125" style="566" customWidth="1"/>
    <col min="5372" max="5373" width="9.28515625" style="566" bestFit="1" customWidth="1"/>
    <col min="5374" max="5374" width="10.42578125" style="566" customWidth="1"/>
    <col min="5375" max="5375" width="8.85546875" style="566" customWidth="1"/>
    <col min="5376" max="5376" width="7.7109375" style="566" customWidth="1"/>
    <col min="5377" max="5377" width="9" style="566" customWidth="1"/>
    <col min="5378" max="5378" width="11" style="566" customWidth="1"/>
    <col min="5379" max="5379" width="8.5703125" style="566" customWidth="1"/>
    <col min="5380" max="5380" width="10.7109375" style="566" customWidth="1"/>
    <col min="5381" max="5381" width="9.42578125" style="566" bestFit="1" customWidth="1"/>
    <col min="5382" max="5609" width="9.140625" style="566"/>
    <col min="5610" max="5610" width="31.140625" style="566" customWidth="1"/>
    <col min="5611" max="5612" width="9.85546875" style="566" customWidth="1"/>
    <col min="5613" max="5613" width="10.28515625" style="566" customWidth="1"/>
    <col min="5614" max="5614" width="11.42578125" style="566" customWidth="1"/>
    <col min="5615" max="5615" width="10.28515625" style="566" customWidth="1"/>
    <col min="5616" max="5617" width="9.140625" style="566"/>
    <col min="5618" max="5618" width="10.42578125" style="566" customWidth="1"/>
    <col min="5619" max="5619" width="8.7109375" style="566" customWidth="1"/>
    <col min="5620" max="5620" width="8.42578125" style="566" customWidth="1"/>
    <col min="5621" max="5623" width="9.28515625" style="566" bestFit="1" customWidth="1"/>
    <col min="5624" max="5624" width="8.140625" style="566" customWidth="1"/>
    <col min="5625" max="5625" width="8" style="566" customWidth="1"/>
    <col min="5626" max="5626" width="9.28515625" style="566" bestFit="1" customWidth="1"/>
    <col min="5627" max="5627" width="10.5703125" style="566" customWidth="1"/>
    <col min="5628" max="5629" width="9.28515625" style="566" bestFit="1" customWidth="1"/>
    <col min="5630" max="5630" width="10.42578125" style="566" customWidth="1"/>
    <col min="5631" max="5631" width="8.85546875" style="566" customWidth="1"/>
    <col min="5632" max="5632" width="7.7109375" style="566" customWidth="1"/>
    <col min="5633" max="5633" width="9" style="566" customWidth="1"/>
    <col min="5634" max="5634" width="11" style="566" customWidth="1"/>
    <col min="5635" max="5635" width="8.5703125" style="566" customWidth="1"/>
    <col min="5636" max="5636" width="10.7109375" style="566" customWidth="1"/>
    <col min="5637" max="5637" width="9.42578125" style="566" bestFit="1" customWidth="1"/>
    <col min="5638" max="5865" width="9.140625" style="566"/>
    <col min="5866" max="5866" width="31.140625" style="566" customWidth="1"/>
    <col min="5867" max="5868" width="9.85546875" style="566" customWidth="1"/>
    <col min="5869" max="5869" width="10.28515625" style="566" customWidth="1"/>
    <col min="5870" max="5870" width="11.42578125" style="566" customWidth="1"/>
    <col min="5871" max="5871" width="10.28515625" style="566" customWidth="1"/>
    <col min="5872" max="5873" width="9.140625" style="566"/>
    <col min="5874" max="5874" width="10.42578125" style="566" customWidth="1"/>
    <col min="5875" max="5875" width="8.7109375" style="566" customWidth="1"/>
    <col min="5876" max="5876" width="8.42578125" style="566" customWidth="1"/>
    <col min="5877" max="5879" width="9.28515625" style="566" bestFit="1" customWidth="1"/>
    <col min="5880" max="5880" width="8.140625" style="566" customWidth="1"/>
    <col min="5881" max="5881" width="8" style="566" customWidth="1"/>
    <col min="5882" max="5882" width="9.28515625" style="566" bestFit="1" customWidth="1"/>
    <col min="5883" max="5883" width="10.5703125" style="566" customWidth="1"/>
    <col min="5884" max="5885" width="9.28515625" style="566" bestFit="1" customWidth="1"/>
    <col min="5886" max="5886" width="10.42578125" style="566" customWidth="1"/>
    <col min="5887" max="5887" width="8.85546875" style="566" customWidth="1"/>
    <col min="5888" max="5888" width="7.7109375" style="566" customWidth="1"/>
    <col min="5889" max="5889" width="9" style="566" customWidth="1"/>
    <col min="5890" max="5890" width="11" style="566" customWidth="1"/>
    <col min="5891" max="5891" width="8.5703125" style="566" customWidth="1"/>
    <col min="5892" max="5892" width="10.7109375" style="566" customWidth="1"/>
    <col min="5893" max="5893" width="9.42578125" style="566" bestFit="1" customWidth="1"/>
    <col min="5894" max="6121" width="9.140625" style="566"/>
    <col min="6122" max="6122" width="31.140625" style="566" customWidth="1"/>
    <col min="6123" max="6124" width="9.85546875" style="566" customWidth="1"/>
    <col min="6125" max="6125" width="10.28515625" style="566" customWidth="1"/>
    <col min="6126" max="6126" width="11.42578125" style="566" customWidth="1"/>
    <col min="6127" max="6127" width="10.28515625" style="566" customWidth="1"/>
    <col min="6128" max="6129" width="9.140625" style="566"/>
    <col min="6130" max="6130" width="10.42578125" style="566" customWidth="1"/>
    <col min="6131" max="6131" width="8.7109375" style="566" customWidth="1"/>
    <col min="6132" max="6132" width="8.42578125" style="566" customWidth="1"/>
    <col min="6133" max="6135" width="9.28515625" style="566" bestFit="1" customWidth="1"/>
    <col min="6136" max="6136" width="8.140625" style="566" customWidth="1"/>
    <col min="6137" max="6137" width="8" style="566" customWidth="1"/>
    <col min="6138" max="6138" width="9.28515625" style="566" bestFit="1" customWidth="1"/>
    <col min="6139" max="6139" width="10.5703125" style="566" customWidth="1"/>
    <col min="6140" max="6141" width="9.28515625" style="566" bestFit="1" customWidth="1"/>
    <col min="6142" max="6142" width="10.42578125" style="566" customWidth="1"/>
    <col min="6143" max="6143" width="8.85546875" style="566" customWidth="1"/>
    <col min="6144" max="6144" width="7.7109375" style="566" customWidth="1"/>
    <col min="6145" max="6145" width="9" style="566" customWidth="1"/>
    <col min="6146" max="6146" width="11" style="566" customWidth="1"/>
    <col min="6147" max="6147" width="8.5703125" style="566" customWidth="1"/>
    <col min="6148" max="6148" width="10.7109375" style="566" customWidth="1"/>
    <col min="6149" max="6149" width="9.42578125" style="566" bestFit="1" customWidth="1"/>
    <col min="6150" max="6377" width="9.140625" style="566"/>
    <col min="6378" max="6378" width="31.140625" style="566" customWidth="1"/>
    <col min="6379" max="6380" width="9.85546875" style="566" customWidth="1"/>
    <col min="6381" max="6381" width="10.28515625" style="566" customWidth="1"/>
    <col min="6382" max="6382" width="11.42578125" style="566" customWidth="1"/>
    <col min="6383" max="6383" width="10.28515625" style="566" customWidth="1"/>
    <col min="6384" max="6385" width="9.140625" style="566"/>
    <col min="6386" max="6386" width="10.42578125" style="566" customWidth="1"/>
    <col min="6387" max="6387" width="8.7109375" style="566" customWidth="1"/>
    <col min="6388" max="6388" width="8.42578125" style="566" customWidth="1"/>
    <col min="6389" max="6391" width="9.28515625" style="566" bestFit="1" customWidth="1"/>
    <col min="6392" max="6392" width="8.140625" style="566" customWidth="1"/>
    <col min="6393" max="6393" width="8" style="566" customWidth="1"/>
    <col min="6394" max="6394" width="9.28515625" style="566" bestFit="1" customWidth="1"/>
    <col min="6395" max="6395" width="10.5703125" style="566" customWidth="1"/>
    <col min="6396" max="6397" width="9.28515625" style="566" bestFit="1" customWidth="1"/>
    <col min="6398" max="6398" width="10.42578125" style="566" customWidth="1"/>
    <col min="6399" max="6399" width="8.85546875" style="566" customWidth="1"/>
    <col min="6400" max="6400" width="7.7109375" style="566" customWidth="1"/>
    <col min="6401" max="6401" width="9" style="566" customWidth="1"/>
    <col min="6402" max="6402" width="11" style="566" customWidth="1"/>
    <col min="6403" max="6403" width="8.5703125" style="566" customWidth="1"/>
    <col min="6404" max="6404" width="10.7109375" style="566" customWidth="1"/>
    <col min="6405" max="6405" width="9.42578125" style="566" bestFit="1" customWidth="1"/>
    <col min="6406" max="6633" width="9.140625" style="566"/>
    <col min="6634" max="6634" width="31.140625" style="566" customWidth="1"/>
    <col min="6635" max="6636" width="9.85546875" style="566" customWidth="1"/>
    <col min="6637" max="6637" width="10.28515625" style="566" customWidth="1"/>
    <col min="6638" max="6638" width="11.42578125" style="566" customWidth="1"/>
    <col min="6639" max="6639" width="10.28515625" style="566" customWidth="1"/>
    <col min="6640" max="6641" width="9.140625" style="566"/>
    <col min="6642" max="6642" width="10.42578125" style="566" customWidth="1"/>
    <col min="6643" max="6643" width="8.7109375" style="566" customWidth="1"/>
    <col min="6644" max="6644" width="8.42578125" style="566" customWidth="1"/>
    <col min="6645" max="6647" width="9.28515625" style="566" bestFit="1" customWidth="1"/>
    <col min="6648" max="6648" width="8.140625" style="566" customWidth="1"/>
    <col min="6649" max="6649" width="8" style="566" customWidth="1"/>
    <col min="6650" max="6650" width="9.28515625" style="566" bestFit="1" customWidth="1"/>
    <col min="6651" max="6651" width="10.5703125" style="566" customWidth="1"/>
    <col min="6652" max="6653" width="9.28515625" style="566" bestFit="1" customWidth="1"/>
    <col min="6654" max="6654" width="10.42578125" style="566" customWidth="1"/>
    <col min="6655" max="6655" width="8.85546875" style="566" customWidth="1"/>
    <col min="6656" max="6656" width="7.7109375" style="566" customWidth="1"/>
    <col min="6657" max="6657" width="9" style="566" customWidth="1"/>
    <col min="6658" max="6658" width="11" style="566" customWidth="1"/>
    <col min="6659" max="6659" width="8.5703125" style="566" customWidth="1"/>
    <col min="6660" max="6660" width="10.7109375" style="566" customWidth="1"/>
    <col min="6661" max="6661" width="9.42578125" style="566" bestFit="1" customWidth="1"/>
    <col min="6662" max="6889" width="9.140625" style="566"/>
    <col min="6890" max="6890" width="31.140625" style="566" customWidth="1"/>
    <col min="6891" max="6892" width="9.85546875" style="566" customWidth="1"/>
    <col min="6893" max="6893" width="10.28515625" style="566" customWidth="1"/>
    <col min="6894" max="6894" width="11.42578125" style="566" customWidth="1"/>
    <col min="6895" max="6895" width="10.28515625" style="566" customWidth="1"/>
    <col min="6896" max="6897" width="9.140625" style="566"/>
    <col min="6898" max="6898" width="10.42578125" style="566" customWidth="1"/>
    <col min="6899" max="6899" width="8.7109375" style="566" customWidth="1"/>
    <col min="6900" max="6900" width="8.42578125" style="566" customWidth="1"/>
    <col min="6901" max="6903" width="9.28515625" style="566" bestFit="1" customWidth="1"/>
    <col min="6904" max="6904" width="8.140625" style="566" customWidth="1"/>
    <col min="6905" max="6905" width="8" style="566" customWidth="1"/>
    <col min="6906" max="6906" width="9.28515625" style="566" bestFit="1" customWidth="1"/>
    <col min="6907" max="6907" width="10.5703125" style="566" customWidth="1"/>
    <col min="6908" max="6909" width="9.28515625" style="566" bestFit="1" customWidth="1"/>
    <col min="6910" max="6910" width="10.42578125" style="566" customWidth="1"/>
    <col min="6911" max="6911" width="8.85546875" style="566" customWidth="1"/>
    <col min="6912" max="6912" width="7.7109375" style="566" customWidth="1"/>
    <col min="6913" max="6913" width="9" style="566" customWidth="1"/>
    <col min="6914" max="6914" width="11" style="566" customWidth="1"/>
    <col min="6915" max="6915" width="8.5703125" style="566" customWidth="1"/>
    <col min="6916" max="6916" width="10.7109375" style="566" customWidth="1"/>
    <col min="6917" max="6917" width="9.42578125" style="566" bestFit="1" customWidth="1"/>
    <col min="6918" max="7145" width="9.140625" style="566"/>
    <col min="7146" max="7146" width="31.140625" style="566" customWidth="1"/>
    <col min="7147" max="7148" width="9.85546875" style="566" customWidth="1"/>
    <col min="7149" max="7149" width="10.28515625" style="566" customWidth="1"/>
    <col min="7150" max="7150" width="11.42578125" style="566" customWidth="1"/>
    <col min="7151" max="7151" width="10.28515625" style="566" customWidth="1"/>
    <col min="7152" max="7153" width="9.140625" style="566"/>
    <col min="7154" max="7154" width="10.42578125" style="566" customWidth="1"/>
    <col min="7155" max="7155" width="8.7109375" style="566" customWidth="1"/>
    <col min="7156" max="7156" width="8.42578125" style="566" customWidth="1"/>
    <col min="7157" max="7159" width="9.28515625" style="566" bestFit="1" customWidth="1"/>
    <col min="7160" max="7160" width="8.140625" style="566" customWidth="1"/>
    <col min="7161" max="7161" width="8" style="566" customWidth="1"/>
    <col min="7162" max="7162" width="9.28515625" style="566" bestFit="1" customWidth="1"/>
    <col min="7163" max="7163" width="10.5703125" style="566" customWidth="1"/>
    <col min="7164" max="7165" width="9.28515625" style="566" bestFit="1" customWidth="1"/>
    <col min="7166" max="7166" width="10.42578125" style="566" customWidth="1"/>
    <col min="7167" max="7167" width="8.85546875" style="566" customWidth="1"/>
    <col min="7168" max="7168" width="7.7109375" style="566" customWidth="1"/>
    <col min="7169" max="7169" width="9" style="566" customWidth="1"/>
    <col min="7170" max="7170" width="11" style="566" customWidth="1"/>
    <col min="7171" max="7171" width="8.5703125" style="566" customWidth="1"/>
    <col min="7172" max="7172" width="10.7109375" style="566" customWidth="1"/>
    <col min="7173" max="7173" width="9.42578125" style="566" bestFit="1" customWidth="1"/>
    <col min="7174" max="7401" width="9.140625" style="566"/>
    <col min="7402" max="7402" width="31.140625" style="566" customWidth="1"/>
    <col min="7403" max="7404" width="9.85546875" style="566" customWidth="1"/>
    <col min="7405" max="7405" width="10.28515625" style="566" customWidth="1"/>
    <col min="7406" max="7406" width="11.42578125" style="566" customWidth="1"/>
    <col min="7407" max="7407" width="10.28515625" style="566" customWidth="1"/>
    <col min="7408" max="7409" width="9.140625" style="566"/>
    <col min="7410" max="7410" width="10.42578125" style="566" customWidth="1"/>
    <col min="7411" max="7411" width="8.7109375" style="566" customWidth="1"/>
    <col min="7412" max="7412" width="8.42578125" style="566" customWidth="1"/>
    <col min="7413" max="7415" width="9.28515625" style="566" bestFit="1" customWidth="1"/>
    <col min="7416" max="7416" width="8.140625" style="566" customWidth="1"/>
    <col min="7417" max="7417" width="8" style="566" customWidth="1"/>
    <col min="7418" max="7418" width="9.28515625" style="566" bestFit="1" customWidth="1"/>
    <col min="7419" max="7419" width="10.5703125" style="566" customWidth="1"/>
    <col min="7420" max="7421" width="9.28515625" style="566" bestFit="1" customWidth="1"/>
    <col min="7422" max="7422" width="10.42578125" style="566" customWidth="1"/>
    <col min="7423" max="7423" width="8.85546875" style="566" customWidth="1"/>
    <col min="7424" max="7424" width="7.7109375" style="566" customWidth="1"/>
    <col min="7425" max="7425" width="9" style="566" customWidth="1"/>
    <col min="7426" max="7426" width="11" style="566" customWidth="1"/>
    <col min="7427" max="7427" width="8.5703125" style="566" customWidth="1"/>
    <col min="7428" max="7428" width="10.7109375" style="566" customWidth="1"/>
    <col min="7429" max="7429" width="9.42578125" style="566" bestFit="1" customWidth="1"/>
    <col min="7430" max="7657" width="9.140625" style="566"/>
    <col min="7658" max="7658" width="31.140625" style="566" customWidth="1"/>
    <col min="7659" max="7660" width="9.85546875" style="566" customWidth="1"/>
    <col min="7661" max="7661" width="10.28515625" style="566" customWidth="1"/>
    <col min="7662" max="7662" width="11.42578125" style="566" customWidth="1"/>
    <col min="7663" max="7663" width="10.28515625" style="566" customWidth="1"/>
    <col min="7664" max="7665" width="9.140625" style="566"/>
    <col min="7666" max="7666" width="10.42578125" style="566" customWidth="1"/>
    <col min="7667" max="7667" width="8.7109375" style="566" customWidth="1"/>
    <col min="7668" max="7668" width="8.42578125" style="566" customWidth="1"/>
    <col min="7669" max="7671" width="9.28515625" style="566" bestFit="1" customWidth="1"/>
    <col min="7672" max="7672" width="8.140625" style="566" customWidth="1"/>
    <col min="7673" max="7673" width="8" style="566" customWidth="1"/>
    <col min="7674" max="7674" width="9.28515625" style="566" bestFit="1" customWidth="1"/>
    <col min="7675" max="7675" width="10.5703125" style="566" customWidth="1"/>
    <col min="7676" max="7677" width="9.28515625" style="566" bestFit="1" customWidth="1"/>
    <col min="7678" max="7678" width="10.42578125" style="566" customWidth="1"/>
    <col min="7679" max="7679" width="8.85546875" style="566" customWidth="1"/>
    <col min="7680" max="7680" width="7.7109375" style="566" customWidth="1"/>
    <col min="7681" max="7681" width="9" style="566" customWidth="1"/>
    <col min="7682" max="7682" width="11" style="566" customWidth="1"/>
    <col min="7683" max="7683" width="8.5703125" style="566" customWidth="1"/>
    <col min="7684" max="7684" width="10.7109375" style="566" customWidth="1"/>
    <col min="7685" max="7685" width="9.42578125" style="566" bestFit="1" customWidth="1"/>
    <col min="7686" max="7913" width="9.140625" style="566"/>
    <col min="7914" max="7914" width="31.140625" style="566" customWidth="1"/>
    <col min="7915" max="7916" width="9.85546875" style="566" customWidth="1"/>
    <col min="7917" max="7917" width="10.28515625" style="566" customWidth="1"/>
    <col min="7918" max="7918" width="11.42578125" style="566" customWidth="1"/>
    <col min="7919" max="7919" width="10.28515625" style="566" customWidth="1"/>
    <col min="7920" max="7921" width="9.140625" style="566"/>
    <col min="7922" max="7922" width="10.42578125" style="566" customWidth="1"/>
    <col min="7923" max="7923" width="8.7109375" style="566" customWidth="1"/>
    <col min="7924" max="7924" width="8.42578125" style="566" customWidth="1"/>
    <col min="7925" max="7927" width="9.28515625" style="566" bestFit="1" customWidth="1"/>
    <col min="7928" max="7928" width="8.140625" style="566" customWidth="1"/>
    <col min="7929" max="7929" width="8" style="566" customWidth="1"/>
    <col min="7930" max="7930" width="9.28515625" style="566" bestFit="1" customWidth="1"/>
    <col min="7931" max="7931" width="10.5703125" style="566" customWidth="1"/>
    <col min="7932" max="7933" width="9.28515625" style="566" bestFit="1" customWidth="1"/>
    <col min="7934" max="7934" width="10.42578125" style="566" customWidth="1"/>
    <col min="7935" max="7935" width="8.85546875" style="566" customWidth="1"/>
    <col min="7936" max="7936" width="7.7109375" style="566" customWidth="1"/>
    <col min="7937" max="7937" width="9" style="566" customWidth="1"/>
    <col min="7938" max="7938" width="11" style="566" customWidth="1"/>
    <col min="7939" max="7939" width="8.5703125" style="566" customWidth="1"/>
    <col min="7940" max="7940" width="10.7109375" style="566" customWidth="1"/>
    <col min="7941" max="7941" width="9.42578125" style="566" bestFit="1" customWidth="1"/>
    <col min="7942" max="8169" width="9.140625" style="566"/>
    <col min="8170" max="8170" width="31.140625" style="566" customWidth="1"/>
    <col min="8171" max="8172" width="9.85546875" style="566" customWidth="1"/>
    <col min="8173" max="8173" width="10.28515625" style="566" customWidth="1"/>
    <col min="8174" max="8174" width="11.42578125" style="566" customWidth="1"/>
    <col min="8175" max="8175" width="10.28515625" style="566" customWidth="1"/>
    <col min="8176" max="8177" width="9.140625" style="566"/>
    <col min="8178" max="8178" width="10.42578125" style="566" customWidth="1"/>
    <col min="8179" max="8179" width="8.7109375" style="566" customWidth="1"/>
    <col min="8180" max="8180" width="8.42578125" style="566" customWidth="1"/>
    <col min="8181" max="8183" width="9.28515625" style="566" bestFit="1" customWidth="1"/>
    <col min="8184" max="8184" width="8.140625" style="566" customWidth="1"/>
    <col min="8185" max="8185" width="8" style="566" customWidth="1"/>
    <col min="8186" max="8186" width="9.28515625" style="566" bestFit="1" customWidth="1"/>
    <col min="8187" max="8187" width="10.5703125" style="566" customWidth="1"/>
    <col min="8188" max="8189" width="9.28515625" style="566" bestFit="1" customWidth="1"/>
    <col min="8190" max="8190" width="10.42578125" style="566" customWidth="1"/>
    <col min="8191" max="8191" width="8.85546875" style="566" customWidth="1"/>
    <col min="8192" max="8192" width="7.7109375" style="566" customWidth="1"/>
    <col min="8193" max="8193" width="9" style="566" customWidth="1"/>
    <col min="8194" max="8194" width="11" style="566" customWidth="1"/>
    <col min="8195" max="8195" width="8.5703125" style="566" customWidth="1"/>
    <col min="8196" max="8196" width="10.7109375" style="566" customWidth="1"/>
    <col min="8197" max="8197" width="9.42578125" style="566" bestFit="1" customWidth="1"/>
    <col min="8198" max="8425" width="9.140625" style="566"/>
    <col min="8426" max="8426" width="31.140625" style="566" customWidth="1"/>
    <col min="8427" max="8428" width="9.85546875" style="566" customWidth="1"/>
    <col min="8429" max="8429" width="10.28515625" style="566" customWidth="1"/>
    <col min="8430" max="8430" width="11.42578125" style="566" customWidth="1"/>
    <col min="8431" max="8431" width="10.28515625" style="566" customWidth="1"/>
    <col min="8432" max="8433" width="9.140625" style="566"/>
    <col min="8434" max="8434" width="10.42578125" style="566" customWidth="1"/>
    <col min="8435" max="8435" width="8.7109375" style="566" customWidth="1"/>
    <col min="8436" max="8436" width="8.42578125" style="566" customWidth="1"/>
    <col min="8437" max="8439" width="9.28515625" style="566" bestFit="1" customWidth="1"/>
    <col min="8440" max="8440" width="8.140625" style="566" customWidth="1"/>
    <col min="8441" max="8441" width="8" style="566" customWidth="1"/>
    <col min="8442" max="8442" width="9.28515625" style="566" bestFit="1" customWidth="1"/>
    <col min="8443" max="8443" width="10.5703125" style="566" customWidth="1"/>
    <col min="8444" max="8445" width="9.28515625" style="566" bestFit="1" customWidth="1"/>
    <col min="8446" max="8446" width="10.42578125" style="566" customWidth="1"/>
    <col min="8447" max="8447" width="8.85546875" style="566" customWidth="1"/>
    <col min="8448" max="8448" width="7.7109375" style="566" customWidth="1"/>
    <col min="8449" max="8449" width="9" style="566" customWidth="1"/>
    <col min="8450" max="8450" width="11" style="566" customWidth="1"/>
    <col min="8451" max="8451" width="8.5703125" style="566" customWidth="1"/>
    <col min="8452" max="8452" width="10.7109375" style="566" customWidth="1"/>
    <col min="8453" max="8453" width="9.42578125" style="566" bestFit="1" customWidth="1"/>
    <col min="8454" max="8681" width="9.140625" style="566"/>
    <col min="8682" max="8682" width="31.140625" style="566" customWidth="1"/>
    <col min="8683" max="8684" width="9.85546875" style="566" customWidth="1"/>
    <col min="8685" max="8685" width="10.28515625" style="566" customWidth="1"/>
    <col min="8686" max="8686" width="11.42578125" style="566" customWidth="1"/>
    <col min="8687" max="8687" width="10.28515625" style="566" customWidth="1"/>
    <col min="8688" max="8689" width="9.140625" style="566"/>
    <col min="8690" max="8690" width="10.42578125" style="566" customWidth="1"/>
    <col min="8691" max="8691" width="8.7109375" style="566" customWidth="1"/>
    <col min="8692" max="8692" width="8.42578125" style="566" customWidth="1"/>
    <col min="8693" max="8695" width="9.28515625" style="566" bestFit="1" customWidth="1"/>
    <col min="8696" max="8696" width="8.140625" style="566" customWidth="1"/>
    <col min="8697" max="8697" width="8" style="566" customWidth="1"/>
    <col min="8698" max="8698" width="9.28515625" style="566" bestFit="1" customWidth="1"/>
    <col min="8699" max="8699" width="10.5703125" style="566" customWidth="1"/>
    <col min="8700" max="8701" width="9.28515625" style="566" bestFit="1" customWidth="1"/>
    <col min="8702" max="8702" width="10.42578125" style="566" customWidth="1"/>
    <col min="8703" max="8703" width="8.85546875" style="566" customWidth="1"/>
    <col min="8704" max="8704" width="7.7109375" style="566" customWidth="1"/>
    <col min="8705" max="8705" width="9" style="566" customWidth="1"/>
    <col min="8706" max="8706" width="11" style="566" customWidth="1"/>
    <col min="8707" max="8707" width="8.5703125" style="566" customWidth="1"/>
    <col min="8708" max="8708" width="10.7109375" style="566" customWidth="1"/>
    <col min="8709" max="8709" width="9.42578125" style="566" bestFit="1" customWidth="1"/>
    <col min="8710" max="8937" width="9.140625" style="566"/>
    <col min="8938" max="8938" width="31.140625" style="566" customWidth="1"/>
    <col min="8939" max="8940" width="9.85546875" style="566" customWidth="1"/>
    <col min="8941" max="8941" width="10.28515625" style="566" customWidth="1"/>
    <col min="8942" max="8942" width="11.42578125" style="566" customWidth="1"/>
    <col min="8943" max="8943" width="10.28515625" style="566" customWidth="1"/>
    <col min="8944" max="8945" width="9.140625" style="566"/>
    <col min="8946" max="8946" width="10.42578125" style="566" customWidth="1"/>
    <col min="8947" max="8947" width="8.7109375" style="566" customWidth="1"/>
    <col min="8948" max="8948" width="8.42578125" style="566" customWidth="1"/>
    <col min="8949" max="8951" width="9.28515625" style="566" bestFit="1" customWidth="1"/>
    <col min="8952" max="8952" width="8.140625" style="566" customWidth="1"/>
    <col min="8953" max="8953" width="8" style="566" customWidth="1"/>
    <col min="8954" max="8954" width="9.28515625" style="566" bestFit="1" customWidth="1"/>
    <col min="8955" max="8955" width="10.5703125" style="566" customWidth="1"/>
    <col min="8956" max="8957" width="9.28515625" style="566" bestFit="1" customWidth="1"/>
    <col min="8958" max="8958" width="10.42578125" style="566" customWidth="1"/>
    <col min="8959" max="8959" width="8.85546875" style="566" customWidth="1"/>
    <col min="8960" max="8960" width="7.7109375" style="566" customWidth="1"/>
    <col min="8961" max="8961" width="9" style="566" customWidth="1"/>
    <col min="8962" max="8962" width="11" style="566" customWidth="1"/>
    <col min="8963" max="8963" width="8.5703125" style="566" customWidth="1"/>
    <col min="8964" max="8964" width="10.7109375" style="566" customWidth="1"/>
    <col min="8965" max="8965" width="9.42578125" style="566" bestFit="1" customWidth="1"/>
    <col min="8966" max="9193" width="9.140625" style="566"/>
    <col min="9194" max="9194" width="31.140625" style="566" customWidth="1"/>
    <col min="9195" max="9196" width="9.85546875" style="566" customWidth="1"/>
    <col min="9197" max="9197" width="10.28515625" style="566" customWidth="1"/>
    <col min="9198" max="9198" width="11.42578125" style="566" customWidth="1"/>
    <col min="9199" max="9199" width="10.28515625" style="566" customWidth="1"/>
    <col min="9200" max="9201" width="9.140625" style="566"/>
    <col min="9202" max="9202" width="10.42578125" style="566" customWidth="1"/>
    <col min="9203" max="9203" width="8.7109375" style="566" customWidth="1"/>
    <col min="9204" max="9204" width="8.42578125" style="566" customWidth="1"/>
    <col min="9205" max="9207" width="9.28515625" style="566" bestFit="1" customWidth="1"/>
    <col min="9208" max="9208" width="8.140625" style="566" customWidth="1"/>
    <col min="9209" max="9209" width="8" style="566" customWidth="1"/>
    <col min="9210" max="9210" width="9.28515625" style="566" bestFit="1" customWidth="1"/>
    <col min="9211" max="9211" width="10.5703125" style="566" customWidth="1"/>
    <col min="9212" max="9213" width="9.28515625" style="566" bestFit="1" customWidth="1"/>
    <col min="9214" max="9214" width="10.42578125" style="566" customWidth="1"/>
    <col min="9215" max="9215" width="8.85546875" style="566" customWidth="1"/>
    <col min="9216" max="9216" width="7.7109375" style="566" customWidth="1"/>
    <col min="9217" max="9217" width="9" style="566" customWidth="1"/>
    <col min="9218" max="9218" width="11" style="566" customWidth="1"/>
    <col min="9219" max="9219" width="8.5703125" style="566" customWidth="1"/>
    <col min="9220" max="9220" width="10.7109375" style="566" customWidth="1"/>
    <col min="9221" max="9221" width="9.42578125" style="566" bestFit="1" customWidth="1"/>
    <col min="9222" max="9449" width="9.140625" style="566"/>
    <col min="9450" max="9450" width="31.140625" style="566" customWidth="1"/>
    <col min="9451" max="9452" width="9.85546875" style="566" customWidth="1"/>
    <col min="9453" max="9453" width="10.28515625" style="566" customWidth="1"/>
    <col min="9454" max="9454" width="11.42578125" style="566" customWidth="1"/>
    <col min="9455" max="9455" width="10.28515625" style="566" customWidth="1"/>
    <col min="9456" max="9457" width="9.140625" style="566"/>
    <col min="9458" max="9458" width="10.42578125" style="566" customWidth="1"/>
    <col min="9459" max="9459" width="8.7109375" style="566" customWidth="1"/>
    <col min="9460" max="9460" width="8.42578125" style="566" customWidth="1"/>
    <col min="9461" max="9463" width="9.28515625" style="566" bestFit="1" customWidth="1"/>
    <col min="9464" max="9464" width="8.140625" style="566" customWidth="1"/>
    <col min="9465" max="9465" width="8" style="566" customWidth="1"/>
    <col min="9466" max="9466" width="9.28515625" style="566" bestFit="1" customWidth="1"/>
    <col min="9467" max="9467" width="10.5703125" style="566" customWidth="1"/>
    <col min="9468" max="9469" width="9.28515625" style="566" bestFit="1" customWidth="1"/>
    <col min="9470" max="9470" width="10.42578125" style="566" customWidth="1"/>
    <col min="9471" max="9471" width="8.85546875" style="566" customWidth="1"/>
    <col min="9472" max="9472" width="7.7109375" style="566" customWidth="1"/>
    <col min="9473" max="9473" width="9" style="566" customWidth="1"/>
    <col min="9474" max="9474" width="11" style="566" customWidth="1"/>
    <col min="9475" max="9475" width="8.5703125" style="566" customWidth="1"/>
    <col min="9476" max="9476" width="10.7109375" style="566" customWidth="1"/>
    <col min="9477" max="9477" width="9.42578125" style="566" bestFit="1" customWidth="1"/>
    <col min="9478" max="9705" width="9.140625" style="566"/>
    <col min="9706" max="9706" width="31.140625" style="566" customWidth="1"/>
    <col min="9707" max="9708" width="9.85546875" style="566" customWidth="1"/>
    <col min="9709" max="9709" width="10.28515625" style="566" customWidth="1"/>
    <col min="9710" max="9710" width="11.42578125" style="566" customWidth="1"/>
    <col min="9711" max="9711" width="10.28515625" style="566" customWidth="1"/>
    <col min="9712" max="9713" width="9.140625" style="566"/>
    <col min="9714" max="9714" width="10.42578125" style="566" customWidth="1"/>
    <col min="9715" max="9715" width="8.7109375" style="566" customWidth="1"/>
    <col min="9716" max="9716" width="8.42578125" style="566" customWidth="1"/>
    <col min="9717" max="9719" width="9.28515625" style="566" bestFit="1" customWidth="1"/>
    <col min="9720" max="9720" width="8.140625" style="566" customWidth="1"/>
    <col min="9721" max="9721" width="8" style="566" customWidth="1"/>
    <col min="9722" max="9722" width="9.28515625" style="566" bestFit="1" customWidth="1"/>
    <col min="9723" max="9723" width="10.5703125" style="566" customWidth="1"/>
    <col min="9724" max="9725" width="9.28515625" style="566" bestFit="1" customWidth="1"/>
    <col min="9726" max="9726" width="10.42578125" style="566" customWidth="1"/>
    <col min="9727" max="9727" width="8.85546875" style="566" customWidth="1"/>
    <col min="9728" max="9728" width="7.7109375" style="566" customWidth="1"/>
    <col min="9729" max="9729" width="9" style="566" customWidth="1"/>
    <col min="9730" max="9730" width="11" style="566" customWidth="1"/>
    <col min="9731" max="9731" width="8.5703125" style="566" customWidth="1"/>
    <col min="9732" max="9732" width="10.7109375" style="566" customWidth="1"/>
    <col min="9733" max="9733" width="9.42578125" style="566" bestFit="1" customWidth="1"/>
    <col min="9734" max="9961" width="9.140625" style="566"/>
    <col min="9962" max="9962" width="31.140625" style="566" customWidth="1"/>
    <col min="9963" max="9964" width="9.85546875" style="566" customWidth="1"/>
    <col min="9965" max="9965" width="10.28515625" style="566" customWidth="1"/>
    <col min="9966" max="9966" width="11.42578125" style="566" customWidth="1"/>
    <col min="9967" max="9967" width="10.28515625" style="566" customWidth="1"/>
    <col min="9968" max="9969" width="9.140625" style="566"/>
    <col min="9970" max="9970" width="10.42578125" style="566" customWidth="1"/>
    <col min="9971" max="9971" width="8.7109375" style="566" customWidth="1"/>
    <col min="9972" max="9972" width="8.42578125" style="566" customWidth="1"/>
    <col min="9973" max="9975" width="9.28515625" style="566" bestFit="1" customWidth="1"/>
    <col min="9976" max="9976" width="8.140625" style="566" customWidth="1"/>
    <col min="9977" max="9977" width="8" style="566" customWidth="1"/>
    <col min="9978" max="9978" width="9.28515625" style="566" bestFit="1" customWidth="1"/>
    <col min="9979" max="9979" width="10.5703125" style="566" customWidth="1"/>
    <col min="9980" max="9981" width="9.28515625" style="566" bestFit="1" customWidth="1"/>
    <col min="9982" max="9982" width="10.42578125" style="566" customWidth="1"/>
    <col min="9983" max="9983" width="8.85546875" style="566" customWidth="1"/>
    <col min="9984" max="9984" width="7.7109375" style="566" customWidth="1"/>
    <col min="9985" max="9985" width="9" style="566" customWidth="1"/>
    <col min="9986" max="9986" width="11" style="566" customWidth="1"/>
    <col min="9987" max="9987" width="8.5703125" style="566" customWidth="1"/>
    <col min="9988" max="9988" width="10.7109375" style="566" customWidth="1"/>
    <col min="9989" max="9989" width="9.42578125" style="566" bestFit="1" customWidth="1"/>
    <col min="9990" max="10217" width="9.140625" style="566"/>
    <col min="10218" max="10218" width="31.140625" style="566" customWidth="1"/>
    <col min="10219" max="10220" width="9.85546875" style="566" customWidth="1"/>
    <col min="10221" max="10221" width="10.28515625" style="566" customWidth="1"/>
    <col min="10222" max="10222" width="11.42578125" style="566" customWidth="1"/>
    <col min="10223" max="10223" width="10.28515625" style="566" customWidth="1"/>
    <col min="10224" max="10225" width="9.140625" style="566"/>
    <col min="10226" max="10226" width="10.42578125" style="566" customWidth="1"/>
    <col min="10227" max="10227" width="8.7109375" style="566" customWidth="1"/>
    <col min="10228" max="10228" width="8.42578125" style="566" customWidth="1"/>
    <col min="10229" max="10231" width="9.28515625" style="566" bestFit="1" customWidth="1"/>
    <col min="10232" max="10232" width="8.140625" style="566" customWidth="1"/>
    <col min="10233" max="10233" width="8" style="566" customWidth="1"/>
    <col min="10234" max="10234" width="9.28515625" style="566" bestFit="1" customWidth="1"/>
    <col min="10235" max="10235" width="10.5703125" style="566" customWidth="1"/>
    <col min="10236" max="10237" width="9.28515625" style="566" bestFit="1" customWidth="1"/>
    <col min="10238" max="10238" width="10.42578125" style="566" customWidth="1"/>
    <col min="10239" max="10239" width="8.85546875" style="566" customWidth="1"/>
    <col min="10240" max="10240" width="7.7109375" style="566" customWidth="1"/>
    <col min="10241" max="10241" width="9" style="566" customWidth="1"/>
    <col min="10242" max="10242" width="11" style="566" customWidth="1"/>
    <col min="10243" max="10243" width="8.5703125" style="566" customWidth="1"/>
    <col min="10244" max="10244" width="10.7109375" style="566" customWidth="1"/>
    <col min="10245" max="10245" width="9.42578125" style="566" bestFit="1" customWidth="1"/>
    <col min="10246" max="10473" width="9.140625" style="566"/>
    <col min="10474" max="10474" width="31.140625" style="566" customWidth="1"/>
    <col min="10475" max="10476" width="9.85546875" style="566" customWidth="1"/>
    <col min="10477" max="10477" width="10.28515625" style="566" customWidth="1"/>
    <col min="10478" max="10478" width="11.42578125" style="566" customWidth="1"/>
    <col min="10479" max="10479" width="10.28515625" style="566" customWidth="1"/>
    <col min="10480" max="10481" width="9.140625" style="566"/>
    <col min="10482" max="10482" width="10.42578125" style="566" customWidth="1"/>
    <col min="10483" max="10483" width="8.7109375" style="566" customWidth="1"/>
    <col min="10484" max="10484" width="8.42578125" style="566" customWidth="1"/>
    <col min="10485" max="10487" width="9.28515625" style="566" bestFit="1" customWidth="1"/>
    <col min="10488" max="10488" width="8.140625" style="566" customWidth="1"/>
    <col min="10489" max="10489" width="8" style="566" customWidth="1"/>
    <col min="10490" max="10490" width="9.28515625" style="566" bestFit="1" customWidth="1"/>
    <col min="10491" max="10491" width="10.5703125" style="566" customWidth="1"/>
    <col min="10492" max="10493" width="9.28515625" style="566" bestFit="1" customWidth="1"/>
    <col min="10494" max="10494" width="10.42578125" style="566" customWidth="1"/>
    <col min="10495" max="10495" width="8.85546875" style="566" customWidth="1"/>
    <col min="10496" max="10496" width="7.7109375" style="566" customWidth="1"/>
    <col min="10497" max="10497" width="9" style="566" customWidth="1"/>
    <col min="10498" max="10498" width="11" style="566" customWidth="1"/>
    <col min="10499" max="10499" width="8.5703125" style="566" customWidth="1"/>
    <col min="10500" max="10500" width="10.7109375" style="566" customWidth="1"/>
    <col min="10501" max="10501" width="9.42578125" style="566" bestFit="1" customWidth="1"/>
    <col min="10502" max="10729" width="9.140625" style="566"/>
    <col min="10730" max="10730" width="31.140625" style="566" customWidth="1"/>
    <col min="10731" max="10732" width="9.85546875" style="566" customWidth="1"/>
    <col min="10733" max="10733" width="10.28515625" style="566" customWidth="1"/>
    <col min="10734" max="10734" width="11.42578125" style="566" customWidth="1"/>
    <col min="10735" max="10735" width="10.28515625" style="566" customWidth="1"/>
    <col min="10736" max="10737" width="9.140625" style="566"/>
    <col min="10738" max="10738" width="10.42578125" style="566" customWidth="1"/>
    <col min="10739" max="10739" width="8.7109375" style="566" customWidth="1"/>
    <col min="10740" max="10740" width="8.42578125" style="566" customWidth="1"/>
    <col min="10741" max="10743" width="9.28515625" style="566" bestFit="1" customWidth="1"/>
    <col min="10744" max="10744" width="8.140625" style="566" customWidth="1"/>
    <col min="10745" max="10745" width="8" style="566" customWidth="1"/>
    <col min="10746" max="10746" width="9.28515625" style="566" bestFit="1" customWidth="1"/>
    <col min="10747" max="10747" width="10.5703125" style="566" customWidth="1"/>
    <col min="10748" max="10749" width="9.28515625" style="566" bestFit="1" customWidth="1"/>
    <col min="10750" max="10750" width="10.42578125" style="566" customWidth="1"/>
    <col min="10751" max="10751" width="8.85546875" style="566" customWidth="1"/>
    <col min="10752" max="10752" width="7.7109375" style="566" customWidth="1"/>
    <col min="10753" max="10753" width="9" style="566" customWidth="1"/>
    <col min="10754" max="10754" width="11" style="566" customWidth="1"/>
    <col min="10755" max="10755" width="8.5703125" style="566" customWidth="1"/>
    <col min="10756" max="10756" width="10.7109375" style="566" customWidth="1"/>
    <col min="10757" max="10757" width="9.42578125" style="566" bestFit="1" customWidth="1"/>
    <col min="10758" max="10985" width="9.140625" style="566"/>
    <col min="10986" max="10986" width="31.140625" style="566" customWidth="1"/>
    <col min="10987" max="10988" width="9.85546875" style="566" customWidth="1"/>
    <col min="10989" max="10989" width="10.28515625" style="566" customWidth="1"/>
    <col min="10990" max="10990" width="11.42578125" style="566" customWidth="1"/>
    <col min="10991" max="10991" width="10.28515625" style="566" customWidth="1"/>
    <col min="10992" max="10993" width="9.140625" style="566"/>
    <col min="10994" max="10994" width="10.42578125" style="566" customWidth="1"/>
    <col min="10995" max="10995" width="8.7109375" style="566" customWidth="1"/>
    <col min="10996" max="10996" width="8.42578125" style="566" customWidth="1"/>
    <col min="10997" max="10999" width="9.28515625" style="566" bestFit="1" customWidth="1"/>
    <col min="11000" max="11000" width="8.140625" style="566" customWidth="1"/>
    <col min="11001" max="11001" width="8" style="566" customWidth="1"/>
    <col min="11002" max="11002" width="9.28515625" style="566" bestFit="1" customWidth="1"/>
    <col min="11003" max="11003" width="10.5703125" style="566" customWidth="1"/>
    <col min="11004" max="11005" width="9.28515625" style="566" bestFit="1" customWidth="1"/>
    <col min="11006" max="11006" width="10.42578125" style="566" customWidth="1"/>
    <col min="11007" max="11007" width="8.85546875" style="566" customWidth="1"/>
    <col min="11008" max="11008" width="7.7109375" style="566" customWidth="1"/>
    <col min="11009" max="11009" width="9" style="566" customWidth="1"/>
    <col min="11010" max="11010" width="11" style="566" customWidth="1"/>
    <col min="11011" max="11011" width="8.5703125" style="566" customWidth="1"/>
    <col min="11012" max="11012" width="10.7109375" style="566" customWidth="1"/>
    <col min="11013" max="11013" width="9.42578125" style="566" bestFit="1" customWidth="1"/>
    <col min="11014" max="11241" width="9.140625" style="566"/>
    <col min="11242" max="11242" width="31.140625" style="566" customWidth="1"/>
    <col min="11243" max="11244" width="9.85546875" style="566" customWidth="1"/>
    <col min="11245" max="11245" width="10.28515625" style="566" customWidth="1"/>
    <col min="11246" max="11246" width="11.42578125" style="566" customWidth="1"/>
    <col min="11247" max="11247" width="10.28515625" style="566" customWidth="1"/>
    <col min="11248" max="11249" width="9.140625" style="566"/>
    <col min="11250" max="11250" width="10.42578125" style="566" customWidth="1"/>
    <col min="11251" max="11251" width="8.7109375" style="566" customWidth="1"/>
    <col min="11252" max="11252" width="8.42578125" style="566" customWidth="1"/>
    <col min="11253" max="11255" width="9.28515625" style="566" bestFit="1" customWidth="1"/>
    <col min="11256" max="11256" width="8.140625" style="566" customWidth="1"/>
    <col min="11257" max="11257" width="8" style="566" customWidth="1"/>
    <col min="11258" max="11258" width="9.28515625" style="566" bestFit="1" customWidth="1"/>
    <col min="11259" max="11259" width="10.5703125" style="566" customWidth="1"/>
    <col min="11260" max="11261" width="9.28515625" style="566" bestFit="1" customWidth="1"/>
    <col min="11262" max="11262" width="10.42578125" style="566" customWidth="1"/>
    <col min="11263" max="11263" width="8.85546875" style="566" customWidth="1"/>
    <col min="11264" max="11264" width="7.7109375" style="566" customWidth="1"/>
    <col min="11265" max="11265" width="9" style="566" customWidth="1"/>
    <col min="11266" max="11266" width="11" style="566" customWidth="1"/>
    <col min="11267" max="11267" width="8.5703125" style="566" customWidth="1"/>
    <col min="11268" max="11268" width="10.7109375" style="566" customWidth="1"/>
    <col min="11269" max="11269" width="9.42578125" style="566" bestFit="1" customWidth="1"/>
    <col min="11270" max="11497" width="9.140625" style="566"/>
    <col min="11498" max="11498" width="31.140625" style="566" customWidth="1"/>
    <col min="11499" max="11500" width="9.85546875" style="566" customWidth="1"/>
    <col min="11501" max="11501" width="10.28515625" style="566" customWidth="1"/>
    <col min="11502" max="11502" width="11.42578125" style="566" customWidth="1"/>
    <col min="11503" max="11503" width="10.28515625" style="566" customWidth="1"/>
    <col min="11504" max="11505" width="9.140625" style="566"/>
    <col min="11506" max="11506" width="10.42578125" style="566" customWidth="1"/>
    <col min="11507" max="11507" width="8.7109375" style="566" customWidth="1"/>
    <col min="11508" max="11508" width="8.42578125" style="566" customWidth="1"/>
    <col min="11509" max="11511" width="9.28515625" style="566" bestFit="1" customWidth="1"/>
    <col min="11512" max="11512" width="8.140625" style="566" customWidth="1"/>
    <col min="11513" max="11513" width="8" style="566" customWidth="1"/>
    <col min="11514" max="11514" width="9.28515625" style="566" bestFit="1" customWidth="1"/>
    <col min="11515" max="11515" width="10.5703125" style="566" customWidth="1"/>
    <col min="11516" max="11517" width="9.28515625" style="566" bestFit="1" customWidth="1"/>
    <col min="11518" max="11518" width="10.42578125" style="566" customWidth="1"/>
    <col min="11519" max="11519" width="8.85546875" style="566" customWidth="1"/>
    <col min="11520" max="11520" width="7.7109375" style="566" customWidth="1"/>
    <col min="11521" max="11521" width="9" style="566" customWidth="1"/>
    <col min="11522" max="11522" width="11" style="566" customWidth="1"/>
    <col min="11523" max="11523" width="8.5703125" style="566" customWidth="1"/>
    <col min="11524" max="11524" width="10.7109375" style="566" customWidth="1"/>
    <col min="11525" max="11525" width="9.42578125" style="566" bestFit="1" customWidth="1"/>
    <col min="11526" max="11753" width="9.140625" style="566"/>
    <col min="11754" max="11754" width="31.140625" style="566" customWidth="1"/>
    <col min="11755" max="11756" width="9.85546875" style="566" customWidth="1"/>
    <col min="11757" max="11757" width="10.28515625" style="566" customWidth="1"/>
    <col min="11758" max="11758" width="11.42578125" style="566" customWidth="1"/>
    <col min="11759" max="11759" width="10.28515625" style="566" customWidth="1"/>
    <col min="11760" max="11761" width="9.140625" style="566"/>
    <col min="11762" max="11762" width="10.42578125" style="566" customWidth="1"/>
    <col min="11763" max="11763" width="8.7109375" style="566" customWidth="1"/>
    <col min="11764" max="11764" width="8.42578125" style="566" customWidth="1"/>
    <col min="11765" max="11767" width="9.28515625" style="566" bestFit="1" customWidth="1"/>
    <col min="11768" max="11768" width="8.140625" style="566" customWidth="1"/>
    <col min="11769" max="11769" width="8" style="566" customWidth="1"/>
    <col min="11770" max="11770" width="9.28515625" style="566" bestFit="1" customWidth="1"/>
    <col min="11771" max="11771" width="10.5703125" style="566" customWidth="1"/>
    <col min="11772" max="11773" width="9.28515625" style="566" bestFit="1" customWidth="1"/>
    <col min="11774" max="11774" width="10.42578125" style="566" customWidth="1"/>
    <col min="11775" max="11775" width="8.85546875" style="566" customWidth="1"/>
    <col min="11776" max="11776" width="7.7109375" style="566" customWidth="1"/>
    <col min="11777" max="11777" width="9" style="566" customWidth="1"/>
    <col min="11778" max="11778" width="11" style="566" customWidth="1"/>
    <col min="11779" max="11779" width="8.5703125" style="566" customWidth="1"/>
    <col min="11780" max="11780" width="10.7109375" style="566" customWidth="1"/>
    <col min="11781" max="11781" width="9.42578125" style="566" bestFit="1" customWidth="1"/>
    <col min="11782" max="12009" width="9.140625" style="566"/>
    <col min="12010" max="12010" width="31.140625" style="566" customWidth="1"/>
    <col min="12011" max="12012" width="9.85546875" style="566" customWidth="1"/>
    <col min="12013" max="12013" width="10.28515625" style="566" customWidth="1"/>
    <col min="12014" max="12014" width="11.42578125" style="566" customWidth="1"/>
    <col min="12015" max="12015" width="10.28515625" style="566" customWidth="1"/>
    <col min="12016" max="12017" width="9.140625" style="566"/>
    <col min="12018" max="12018" width="10.42578125" style="566" customWidth="1"/>
    <col min="12019" max="12019" width="8.7109375" style="566" customWidth="1"/>
    <col min="12020" max="12020" width="8.42578125" style="566" customWidth="1"/>
    <col min="12021" max="12023" width="9.28515625" style="566" bestFit="1" customWidth="1"/>
    <col min="12024" max="12024" width="8.140625" style="566" customWidth="1"/>
    <col min="12025" max="12025" width="8" style="566" customWidth="1"/>
    <col min="12026" max="12026" width="9.28515625" style="566" bestFit="1" customWidth="1"/>
    <col min="12027" max="12027" width="10.5703125" style="566" customWidth="1"/>
    <col min="12028" max="12029" width="9.28515625" style="566" bestFit="1" customWidth="1"/>
    <col min="12030" max="12030" width="10.42578125" style="566" customWidth="1"/>
    <col min="12031" max="12031" width="8.85546875" style="566" customWidth="1"/>
    <col min="12032" max="12032" width="7.7109375" style="566" customWidth="1"/>
    <col min="12033" max="12033" width="9" style="566" customWidth="1"/>
    <col min="12034" max="12034" width="11" style="566" customWidth="1"/>
    <col min="12035" max="12035" width="8.5703125" style="566" customWidth="1"/>
    <col min="12036" max="12036" width="10.7109375" style="566" customWidth="1"/>
    <col min="12037" max="12037" width="9.42578125" style="566" bestFit="1" customWidth="1"/>
    <col min="12038" max="12265" width="9.140625" style="566"/>
    <col min="12266" max="12266" width="31.140625" style="566" customWidth="1"/>
    <col min="12267" max="12268" width="9.85546875" style="566" customWidth="1"/>
    <col min="12269" max="12269" width="10.28515625" style="566" customWidth="1"/>
    <col min="12270" max="12270" width="11.42578125" style="566" customWidth="1"/>
    <col min="12271" max="12271" width="10.28515625" style="566" customWidth="1"/>
    <col min="12272" max="12273" width="9.140625" style="566"/>
    <col min="12274" max="12274" width="10.42578125" style="566" customWidth="1"/>
    <col min="12275" max="12275" width="8.7109375" style="566" customWidth="1"/>
    <col min="12276" max="12276" width="8.42578125" style="566" customWidth="1"/>
    <col min="12277" max="12279" width="9.28515625" style="566" bestFit="1" customWidth="1"/>
    <col min="12280" max="12280" width="8.140625" style="566" customWidth="1"/>
    <col min="12281" max="12281" width="8" style="566" customWidth="1"/>
    <col min="12282" max="12282" width="9.28515625" style="566" bestFit="1" customWidth="1"/>
    <col min="12283" max="12283" width="10.5703125" style="566" customWidth="1"/>
    <col min="12284" max="12285" width="9.28515625" style="566" bestFit="1" customWidth="1"/>
    <col min="12286" max="12286" width="10.42578125" style="566" customWidth="1"/>
    <col min="12287" max="12287" width="8.85546875" style="566" customWidth="1"/>
    <col min="12288" max="12288" width="7.7109375" style="566" customWidth="1"/>
    <col min="12289" max="12289" width="9" style="566" customWidth="1"/>
    <col min="12290" max="12290" width="11" style="566" customWidth="1"/>
    <col min="12291" max="12291" width="8.5703125" style="566" customWidth="1"/>
    <col min="12292" max="12292" width="10.7109375" style="566" customWidth="1"/>
    <col min="12293" max="12293" width="9.42578125" style="566" bestFit="1" customWidth="1"/>
    <col min="12294" max="12521" width="9.140625" style="566"/>
    <col min="12522" max="12522" width="31.140625" style="566" customWidth="1"/>
    <col min="12523" max="12524" width="9.85546875" style="566" customWidth="1"/>
    <col min="12525" max="12525" width="10.28515625" style="566" customWidth="1"/>
    <col min="12526" max="12526" width="11.42578125" style="566" customWidth="1"/>
    <col min="12527" max="12527" width="10.28515625" style="566" customWidth="1"/>
    <col min="12528" max="12529" width="9.140625" style="566"/>
    <col min="12530" max="12530" width="10.42578125" style="566" customWidth="1"/>
    <col min="12531" max="12531" width="8.7109375" style="566" customWidth="1"/>
    <col min="12532" max="12532" width="8.42578125" style="566" customWidth="1"/>
    <col min="12533" max="12535" width="9.28515625" style="566" bestFit="1" customWidth="1"/>
    <col min="12536" max="12536" width="8.140625" style="566" customWidth="1"/>
    <col min="12537" max="12537" width="8" style="566" customWidth="1"/>
    <col min="12538" max="12538" width="9.28515625" style="566" bestFit="1" customWidth="1"/>
    <col min="12539" max="12539" width="10.5703125" style="566" customWidth="1"/>
    <col min="12540" max="12541" width="9.28515625" style="566" bestFit="1" customWidth="1"/>
    <col min="12542" max="12542" width="10.42578125" style="566" customWidth="1"/>
    <col min="12543" max="12543" width="8.85546875" style="566" customWidth="1"/>
    <col min="12544" max="12544" width="7.7109375" style="566" customWidth="1"/>
    <col min="12545" max="12545" width="9" style="566" customWidth="1"/>
    <col min="12546" max="12546" width="11" style="566" customWidth="1"/>
    <col min="12547" max="12547" width="8.5703125" style="566" customWidth="1"/>
    <col min="12548" max="12548" width="10.7109375" style="566" customWidth="1"/>
    <col min="12549" max="12549" width="9.42578125" style="566" bestFit="1" customWidth="1"/>
    <col min="12550" max="12777" width="9.140625" style="566"/>
    <col min="12778" max="12778" width="31.140625" style="566" customWidth="1"/>
    <col min="12779" max="12780" width="9.85546875" style="566" customWidth="1"/>
    <col min="12781" max="12781" width="10.28515625" style="566" customWidth="1"/>
    <col min="12782" max="12782" width="11.42578125" style="566" customWidth="1"/>
    <col min="12783" max="12783" width="10.28515625" style="566" customWidth="1"/>
    <col min="12784" max="12785" width="9.140625" style="566"/>
    <col min="12786" max="12786" width="10.42578125" style="566" customWidth="1"/>
    <col min="12787" max="12787" width="8.7109375" style="566" customWidth="1"/>
    <col min="12788" max="12788" width="8.42578125" style="566" customWidth="1"/>
    <col min="12789" max="12791" width="9.28515625" style="566" bestFit="1" customWidth="1"/>
    <col min="12792" max="12792" width="8.140625" style="566" customWidth="1"/>
    <col min="12793" max="12793" width="8" style="566" customWidth="1"/>
    <col min="12794" max="12794" width="9.28515625" style="566" bestFit="1" customWidth="1"/>
    <col min="12795" max="12795" width="10.5703125" style="566" customWidth="1"/>
    <col min="12796" max="12797" width="9.28515625" style="566" bestFit="1" customWidth="1"/>
    <col min="12798" max="12798" width="10.42578125" style="566" customWidth="1"/>
    <col min="12799" max="12799" width="8.85546875" style="566" customWidth="1"/>
    <col min="12800" max="12800" width="7.7109375" style="566" customWidth="1"/>
    <col min="12801" max="12801" width="9" style="566" customWidth="1"/>
    <col min="12802" max="12802" width="11" style="566" customWidth="1"/>
    <col min="12803" max="12803" width="8.5703125" style="566" customWidth="1"/>
    <col min="12804" max="12804" width="10.7109375" style="566" customWidth="1"/>
    <col min="12805" max="12805" width="9.42578125" style="566" bestFit="1" customWidth="1"/>
    <col min="12806" max="13033" width="9.140625" style="566"/>
    <col min="13034" max="13034" width="31.140625" style="566" customWidth="1"/>
    <col min="13035" max="13036" width="9.85546875" style="566" customWidth="1"/>
    <col min="13037" max="13037" width="10.28515625" style="566" customWidth="1"/>
    <col min="13038" max="13038" width="11.42578125" style="566" customWidth="1"/>
    <col min="13039" max="13039" width="10.28515625" style="566" customWidth="1"/>
    <col min="13040" max="13041" width="9.140625" style="566"/>
    <col min="13042" max="13042" width="10.42578125" style="566" customWidth="1"/>
    <col min="13043" max="13043" width="8.7109375" style="566" customWidth="1"/>
    <col min="13044" max="13044" width="8.42578125" style="566" customWidth="1"/>
    <col min="13045" max="13047" width="9.28515625" style="566" bestFit="1" customWidth="1"/>
    <col min="13048" max="13048" width="8.140625" style="566" customWidth="1"/>
    <col min="13049" max="13049" width="8" style="566" customWidth="1"/>
    <col min="13050" max="13050" width="9.28515625" style="566" bestFit="1" customWidth="1"/>
    <col min="13051" max="13051" width="10.5703125" style="566" customWidth="1"/>
    <col min="13052" max="13053" width="9.28515625" style="566" bestFit="1" customWidth="1"/>
    <col min="13054" max="13054" width="10.42578125" style="566" customWidth="1"/>
    <col min="13055" max="13055" width="8.85546875" style="566" customWidth="1"/>
    <col min="13056" max="13056" width="7.7109375" style="566" customWidth="1"/>
    <col min="13057" max="13057" width="9" style="566" customWidth="1"/>
    <col min="13058" max="13058" width="11" style="566" customWidth="1"/>
    <col min="13059" max="13059" width="8.5703125" style="566" customWidth="1"/>
    <col min="13060" max="13060" width="10.7109375" style="566" customWidth="1"/>
    <col min="13061" max="13061" width="9.42578125" style="566" bestFit="1" customWidth="1"/>
    <col min="13062" max="13289" width="9.140625" style="566"/>
    <col min="13290" max="13290" width="31.140625" style="566" customWidth="1"/>
    <col min="13291" max="13292" width="9.85546875" style="566" customWidth="1"/>
    <col min="13293" max="13293" width="10.28515625" style="566" customWidth="1"/>
    <col min="13294" max="13294" width="11.42578125" style="566" customWidth="1"/>
    <col min="13295" max="13295" width="10.28515625" style="566" customWidth="1"/>
    <col min="13296" max="13297" width="9.140625" style="566"/>
    <col min="13298" max="13298" width="10.42578125" style="566" customWidth="1"/>
    <col min="13299" max="13299" width="8.7109375" style="566" customWidth="1"/>
    <col min="13300" max="13300" width="8.42578125" style="566" customWidth="1"/>
    <col min="13301" max="13303" width="9.28515625" style="566" bestFit="1" customWidth="1"/>
    <col min="13304" max="13304" width="8.140625" style="566" customWidth="1"/>
    <col min="13305" max="13305" width="8" style="566" customWidth="1"/>
    <col min="13306" max="13306" width="9.28515625" style="566" bestFit="1" customWidth="1"/>
    <col min="13307" max="13307" width="10.5703125" style="566" customWidth="1"/>
    <col min="13308" max="13309" width="9.28515625" style="566" bestFit="1" customWidth="1"/>
    <col min="13310" max="13310" width="10.42578125" style="566" customWidth="1"/>
    <col min="13311" max="13311" width="8.85546875" style="566" customWidth="1"/>
    <col min="13312" max="13312" width="7.7109375" style="566" customWidth="1"/>
    <col min="13313" max="13313" width="9" style="566" customWidth="1"/>
    <col min="13314" max="13314" width="11" style="566" customWidth="1"/>
    <col min="13315" max="13315" width="8.5703125" style="566" customWidth="1"/>
    <col min="13316" max="13316" width="10.7109375" style="566" customWidth="1"/>
    <col min="13317" max="13317" width="9.42578125" style="566" bestFit="1" customWidth="1"/>
    <col min="13318" max="13545" width="9.140625" style="566"/>
    <col min="13546" max="13546" width="31.140625" style="566" customWidth="1"/>
    <col min="13547" max="13548" width="9.85546875" style="566" customWidth="1"/>
    <col min="13549" max="13549" width="10.28515625" style="566" customWidth="1"/>
    <col min="13550" max="13550" width="11.42578125" style="566" customWidth="1"/>
    <col min="13551" max="13551" width="10.28515625" style="566" customWidth="1"/>
    <col min="13552" max="13553" width="9.140625" style="566"/>
    <col min="13554" max="13554" width="10.42578125" style="566" customWidth="1"/>
    <col min="13555" max="13555" width="8.7109375" style="566" customWidth="1"/>
    <col min="13556" max="13556" width="8.42578125" style="566" customWidth="1"/>
    <col min="13557" max="13559" width="9.28515625" style="566" bestFit="1" customWidth="1"/>
    <col min="13560" max="13560" width="8.140625" style="566" customWidth="1"/>
    <col min="13561" max="13561" width="8" style="566" customWidth="1"/>
    <col min="13562" max="13562" width="9.28515625" style="566" bestFit="1" customWidth="1"/>
    <col min="13563" max="13563" width="10.5703125" style="566" customWidth="1"/>
    <col min="13564" max="13565" width="9.28515625" style="566" bestFit="1" customWidth="1"/>
    <col min="13566" max="13566" width="10.42578125" style="566" customWidth="1"/>
    <col min="13567" max="13567" width="8.85546875" style="566" customWidth="1"/>
    <col min="13568" max="13568" width="7.7109375" style="566" customWidth="1"/>
    <col min="13569" max="13569" width="9" style="566" customWidth="1"/>
    <col min="13570" max="13570" width="11" style="566" customWidth="1"/>
    <col min="13571" max="13571" width="8.5703125" style="566" customWidth="1"/>
    <col min="13572" max="13572" width="10.7109375" style="566" customWidth="1"/>
    <col min="13573" max="13573" width="9.42578125" style="566" bestFit="1" customWidth="1"/>
    <col min="13574" max="13801" width="9.140625" style="566"/>
    <col min="13802" max="13802" width="31.140625" style="566" customWidth="1"/>
    <col min="13803" max="13804" width="9.85546875" style="566" customWidth="1"/>
    <col min="13805" max="13805" width="10.28515625" style="566" customWidth="1"/>
    <col min="13806" max="13806" width="11.42578125" style="566" customWidth="1"/>
    <col min="13807" max="13807" width="10.28515625" style="566" customWidth="1"/>
    <col min="13808" max="13809" width="9.140625" style="566"/>
    <col min="13810" max="13810" width="10.42578125" style="566" customWidth="1"/>
    <col min="13811" max="13811" width="8.7109375" style="566" customWidth="1"/>
    <col min="13812" max="13812" width="8.42578125" style="566" customWidth="1"/>
    <col min="13813" max="13815" width="9.28515625" style="566" bestFit="1" customWidth="1"/>
    <col min="13816" max="13816" width="8.140625" style="566" customWidth="1"/>
    <col min="13817" max="13817" width="8" style="566" customWidth="1"/>
    <col min="13818" max="13818" width="9.28515625" style="566" bestFit="1" customWidth="1"/>
    <col min="13819" max="13819" width="10.5703125" style="566" customWidth="1"/>
    <col min="13820" max="13821" width="9.28515625" style="566" bestFit="1" customWidth="1"/>
    <col min="13822" max="13822" width="10.42578125" style="566" customWidth="1"/>
    <col min="13823" max="13823" width="8.85546875" style="566" customWidth="1"/>
    <col min="13824" max="13824" width="7.7109375" style="566" customWidth="1"/>
    <col min="13825" max="13825" width="9" style="566" customWidth="1"/>
    <col min="13826" max="13826" width="11" style="566" customWidth="1"/>
    <col min="13827" max="13827" width="8.5703125" style="566" customWidth="1"/>
    <col min="13828" max="13828" width="10.7109375" style="566" customWidth="1"/>
    <col min="13829" max="13829" width="9.42578125" style="566" bestFit="1" customWidth="1"/>
    <col min="13830" max="14057" width="9.140625" style="566"/>
    <col min="14058" max="14058" width="31.140625" style="566" customWidth="1"/>
    <col min="14059" max="14060" width="9.85546875" style="566" customWidth="1"/>
    <col min="14061" max="14061" width="10.28515625" style="566" customWidth="1"/>
    <col min="14062" max="14062" width="11.42578125" style="566" customWidth="1"/>
    <col min="14063" max="14063" width="10.28515625" style="566" customWidth="1"/>
    <col min="14064" max="14065" width="9.140625" style="566"/>
    <col min="14066" max="14066" width="10.42578125" style="566" customWidth="1"/>
    <col min="14067" max="14067" width="8.7109375" style="566" customWidth="1"/>
    <col min="14068" max="14068" width="8.42578125" style="566" customWidth="1"/>
    <col min="14069" max="14071" width="9.28515625" style="566" bestFit="1" customWidth="1"/>
    <col min="14072" max="14072" width="8.140625" style="566" customWidth="1"/>
    <col min="14073" max="14073" width="8" style="566" customWidth="1"/>
    <col min="14074" max="14074" width="9.28515625" style="566" bestFit="1" customWidth="1"/>
    <col min="14075" max="14075" width="10.5703125" style="566" customWidth="1"/>
    <col min="14076" max="14077" width="9.28515625" style="566" bestFit="1" customWidth="1"/>
    <col min="14078" max="14078" width="10.42578125" style="566" customWidth="1"/>
    <col min="14079" max="14079" width="8.85546875" style="566" customWidth="1"/>
    <col min="14080" max="14080" width="7.7109375" style="566" customWidth="1"/>
    <col min="14081" max="14081" width="9" style="566" customWidth="1"/>
    <col min="14082" max="14082" width="11" style="566" customWidth="1"/>
    <col min="14083" max="14083" width="8.5703125" style="566" customWidth="1"/>
    <col min="14084" max="14084" width="10.7109375" style="566" customWidth="1"/>
    <col min="14085" max="14085" width="9.42578125" style="566" bestFit="1" customWidth="1"/>
    <col min="14086" max="14313" width="9.140625" style="566"/>
    <col min="14314" max="14314" width="31.140625" style="566" customWidth="1"/>
    <col min="14315" max="14316" width="9.85546875" style="566" customWidth="1"/>
    <col min="14317" max="14317" width="10.28515625" style="566" customWidth="1"/>
    <col min="14318" max="14318" width="11.42578125" style="566" customWidth="1"/>
    <col min="14319" max="14319" width="10.28515625" style="566" customWidth="1"/>
    <col min="14320" max="14321" width="9.140625" style="566"/>
    <col min="14322" max="14322" width="10.42578125" style="566" customWidth="1"/>
    <col min="14323" max="14323" width="8.7109375" style="566" customWidth="1"/>
    <col min="14324" max="14324" width="8.42578125" style="566" customWidth="1"/>
    <col min="14325" max="14327" width="9.28515625" style="566" bestFit="1" customWidth="1"/>
    <col min="14328" max="14328" width="8.140625" style="566" customWidth="1"/>
    <col min="14329" max="14329" width="8" style="566" customWidth="1"/>
    <col min="14330" max="14330" width="9.28515625" style="566" bestFit="1" customWidth="1"/>
    <col min="14331" max="14331" width="10.5703125" style="566" customWidth="1"/>
    <col min="14332" max="14333" width="9.28515625" style="566" bestFit="1" customWidth="1"/>
    <col min="14334" max="14334" width="10.42578125" style="566" customWidth="1"/>
    <col min="14335" max="14335" width="8.85546875" style="566" customWidth="1"/>
    <col min="14336" max="14336" width="7.7109375" style="566" customWidth="1"/>
    <col min="14337" max="14337" width="9" style="566" customWidth="1"/>
    <col min="14338" max="14338" width="11" style="566" customWidth="1"/>
    <col min="14339" max="14339" width="8.5703125" style="566" customWidth="1"/>
    <col min="14340" max="14340" width="10.7109375" style="566" customWidth="1"/>
    <col min="14341" max="14341" width="9.42578125" style="566" bestFit="1" customWidth="1"/>
    <col min="14342" max="14569" width="9.140625" style="566"/>
    <col min="14570" max="14570" width="31.140625" style="566" customWidth="1"/>
    <col min="14571" max="14572" width="9.85546875" style="566" customWidth="1"/>
    <col min="14573" max="14573" width="10.28515625" style="566" customWidth="1"/>
    <col min="14574" max="14574" width="11.42578125" style="566" customWidth="1"/>
    <col min="14575" max="14575" width="10.28515625" style="566" customWidth="1"/>
    <col min="14576" max="14577" width="9.140625" style="566"/>
    <col min="14578" max="14578" width="10.42578125" style="566" customWidth="1"/>
    <col min="14579" max="14579" width="8.7109375" style="566" customWidth="1"/>
    <col min="14580" max="14580" width="8.42578125" style="566" customWidth="1"/>
    <col min="14581" max="14583" width="9.28515625" style="566" bestFit="1" customWidth="1"/>
    <col min="14584" max="14584" width="8.140625" style="566" customWidth="1"/>
    <col min="14585" max="14585" width="8" style="566" customWidth="1"/>
    <col min="14586" max="14586" width="9.28515625" style="566" bestFit="1" customWidth="1"/>
    <col min="14587" max="14587" width="10.5703125" style="566" customWidth="1"/>
    <col min="14588" max="14589" width="9.28515625" style="566" bestFit="1" customWidth="1"/>
    <col min="14590" max="14590" width="10.42578125" style="566" customWidth="1"/>
    <col min="14591" max="14591" width="8.85546875" style="566" customWidth="1"/>
    <col min="14592" max="14592" width="7.7109375" style="566" customWidth="1"/>
    <col min="14593" max="14593" width="9" style="566" customWidth="1"/>
    <col min="14594" max="14594" width="11" style="566" customWidth="1"/>
    <col min="14595" max="14595" width="8.5703125" style="566" customWidth="1"/>
    <col min="14596" max="14596" width="10.7109375" style="566" customWidth="1"/>
    <col min="14597" max="14597" width="9.42578125" style="566" bestFit="1" customWidth="1"/>
    <col min="14598" max="14825" width="9.140625" style="566"/>
    <col min="14826" max="14826" width="31.140625" style="566" customWidth="1"/>
    <col min="14827" max="14828" width="9.85546875" style="566" customWidth="1"/>
    <col min="14829" max="14829" width="10.28515625" style="566" customWidth="1"/>
    <col min="14830" max="14830" width="11.42578125" style="566" customWidth="1"/>
    <col min="14831" max="14831" width="10.28515625" style="566" customWidth="1"/>
    <col min="14832" max="14833" width="9.140625" style="566"/>
    <col min="14834" max="14834" width="10.42578125" style="566" customWidth="1"/>
    <col min="14835" max="14835" width="8.7109375" style="566" customWidth="1"/>
    <col min="14836" max="14836" width="8.42578125" style="566" customWidth="1"/>
    <col min="14837" max="14839" width="9.28515625" style="566" bestFit="1" customWidth="1"/>
    <col min="14840" max="14840" width="8.140625" style="566" customWidth="1"/>
    <col min="14841" max="14841" width="8" style="566" customWidth="1"/>
    <col min="14842" max="14842" width="9.28515625" style="566" bestFit="1" customWidth="1"/>
    <col min="14843" max="14843" width="10.5703125" style="566" customWidth="1"/>
    <col min="14844" max="14845" width="9.28515625" style="566" bestFit="1" customWidth="1"/>
    <col min="14846" max="14846" width="10.42578125" style="566" customWidth="1"/>
    <col min="14847" max="14847" width="8.85546875" style="566" customWidth="1"/>
    <col min="14848" max="14848" width="7.7109375" style="566" customWidth="1"/>
    <col min="14849" max="14849" width="9" style="566" customWidth="1"/>
    <col min="14850" max="14850" width="11" style="566" customWidth="1"/>
    <col min="14851" max="14851" width="8.5703125" style="566" customWidth="1"/>
    <col min="14852" max="14852" width="10.7109375" style="566" customWidth="1"/>
    <col min="14853" max="14853" width="9.42578125" style="566" bestFit="1" customWidth="1"/>
    <col min="14854" max="15081" width="9.140625" style="566"/>
    <col min="15082" max="15082" width="31.140625" style="566" customWidth="1"/>
    <col min="15083" max="15084" width="9.85546875" style="566" customWidth="1"/>
    <col min="15085" max="15085" width="10.28515625" style="566" customWidth="1"/>
    <col min="15086" max="15086" width="11.42578125" style="566" customWidth="1"/>
    <col min="15087" max="15087" width="10.28515625" style="566" customWidth="1"/>
    <col min="15088" max="15089" width="9.140625" style="566"/>
    <col min="15090" max="15090" width="10.42578125" style="566" customWidth="1"/>
    <col min="15091" max="15091" width="8.7109375" style="566" customWidth="1"/>
    <col min="15092" max="15092" width="8.42578125" style="566" customWidth="1"/>
    <col min="15093" max="15095" width="9.28515625" style="566" bestFit="1" customWidth="1"/>
    <col min="15096" max="15096" width="8.140625" style="566" customWidth="1"/>
    <col min="15097" max="15097" width="8" style="566" customWidth="1"/>
    <col min="15098" max="15098" width="9.28515625" style="566" bestFit="1" customWidth="1"/>
    <col min="15099" max="15099" width="10.5703125" style="566" customWidth="1"/>
    <col min="15100" max="15101" width="9.28515625" style="566" bestFit="1" customWidth="1"/>
    <col min="15102" max="15102" width="10.42578125" style="566" customWidth="1"/>
    <col min="15103" max="15103" width="8.85546875" style="566" customWidth="1"/>
    <col min="15104" max="15104" width="7.7109375" style="566" customWidth="1"/>
    <col min="15105" max="15105" width="9" style="566" customWidth="1"/>
    <col min="15106" max="15106" width="11" style="566" customWidth="1"/>
    <col min="15107" max="15107" width="8.5703125" style="566" customWidth="1"/>
    <col min="15108" max="15108" width="10.7109375" style="566" customWidth="1"/>
    <col min="15109" max="15109" width="9.42578125" style="566" bestFit="1" customWidth="1"/>
    <col min="15110" max="15337" width="9.140625" style="566"/>
    <col min="15338" max="15338" width="31.140625" style="566" customWidth="1"/>
    <col min="15339" max="15340" width="9.85546875" style="566" customWidth="1"/>
    <col min="15341" max="15341" width="10.28515625" style="566" customWidth="1"/>
    <col min="15342" max="15342" width="11.42578125" style="566" customWidth="1"/>
    <col min="15343" max="15343" width="10.28515625" style="566" customWidth="1"/>
    <col min="15344" max="15345" width="9.140625" style="566"/>
    <col min="15346" max="15346" width="10.42578125" style="566" customWidth="1"/>
    <col min="15347" max="15347" width="8.7109375" style="566" customWidth="1"/>
    <col min="15348" max="15348" width="8.42578125" style="566" customWidth="1"/>
    <col min="15349" max="15351" width="9.28515625" style="566" bestFit="1" customWidth="1"/>
    <col min="15352" max="15352" width="8.140625" style="566" customWidth="1"/>
    <col min="15353" max="15353" width="8" style="566" customWidth="1"/>
    <col min="15354" max="15354" width="9.28515625" style="566" bestFit="1" customWidth="1"/>
    <col min="15355" max="15355" width="10.5703125" style="566" customWidth="1"/>
    <col min="15356" max="15357" width="9.28515625" style="566" bestFit="1" customWidth="1"/>
    <col min="15358" max="15358" width="10.42578125" style="566" customWidth="1"/>
    <col min="15359" max="15359" width="8.85546875" style="566" customWidth="1"/>
    <col min="15360" max="15360" width="7.7109375" style="566" customWidth="1"/>
    <col min="15361" max="15361" width="9" style="566" customWidth="1"/>
    <col min="15362" max="15362" width="11" style="566" customWidth="1"/>
    <col min="15363" max="15363" width="8.5703125" style="566" customWidth="1"/>
    <col min="15364" max="15364" width="10.7109375" style="566" customWidth="1"/>
    <col min="15365" max="15365" width="9.42578125" style="566" bestFit="1" customWidth="1"/>
    <col min="15366" max="15593" width="9.140625" style="566"/>
    <col min="15594" max="15594" width="31.140625" style="566" customWidth="1"/>
    <col min="15595" max="15596" width="9.85546875" style="566" customWidth="1"/>
    <col min="15597" max="15597" width="10.28515625" style="566" customWidth="1"/>
    <col min="15598" max="15598" width="11.42578125" style="566" customWidth="1"/>
    <col min="15599" max="15599" width="10.28515625" style="566" customWidth="1"/>
    <col min="15600" max="15601" width="9.140625" style="566"/>
    <col min="15602" max="15602" width="10.42578125" style="566" customWidth="1"/>
    <col min="15603" max="15603" width="8.7109375" style="566" customWidth="1"/>
    <col min="15604" max="15604" width="8.42578125" style="566" customWidth="1"/>
    <col min="15605" max="15607" width="9.28515625" style="566" bestFit="1" customWidth="1"/>
    <col min="15608" max="15608" width="8.140625" style="566" customWidth="1"/>
    <col min="15609" max="15609" width="8" style="566" customWidth="1"/>
    <col min="15610" max="15610" width="9.28515625" style="566" bestFit="1" customWidth="1"/>
    <col min="15611" max="15611" width="10.5703125" style="566" customWidth="1"/>
    <col min="15612" max="15613" width="9.28515625" style="566" bestFit="1" customWidth="1"/>
    <col min="15614" max="15614" width="10.42578125" style="566" customWidth="1"/>
    <col min="15615" max="15615" width="8.85546875" style="566" customWidth="1"/>
    <col min="15616" max="15616" width="7.7109375" style="566" customWidth="1"/>
    <col min="15617" max="15617" width="9" style="566" customWidth="1"/>
    <col min="15618" max="15618" width="11" style="566" customWidth="1"/>
    <col min="15619" max="15619" width="8.5703125" style="566" customWidth="1"/>
    <col min="15620" max="15620" width="10.7109375" style="566" customWidth="1"/>
    <col min="15621" max="15621" width="9.42578125" style="566" bestFit="1" customWidth="1"/>
    <col min="15622" max="15849" width="9.140625" style="566"/>
    <col min="15850" max="15850" width="31.140625" style="566" customWidth="1"/>
    <col min="15851" max="15852" width="9.85546875" style="566" customWidth="1"/>
    <col min="15853" max="15853" width="10.28515625" style="566" customWidth="1"/>
    <col min="15854" max="15854" width="11.42578125" style="566" customWidth="1"/>
    <col min="15855" max="15855" width="10.28515625" style="566" customWidth="1"/>
    <col min="15856" max="15857" width="9.140625" style="566"/>
    <col min="15858" max="15858" width="10.42578125" style="566" customWidth="1"/>
    <col min="15859" max="15859" width="8.7109375" style="566" customWidth="1"/>
    <col min="15860" max="15860" width="8.42578125" style="566" customWidth="1"/>
    <col min="15861" max="15863" width="9.28515625" style="566" bestFit="1" customWidth="1"/>
    <col min="15864" max="15864" width="8.140625" style="566" customWidth="1"/>
    <col min="15865" max="15865" width="8" style="566" customWidth="1"/>
    <col min="15866" max="15866" width="9.28515625" style="566" bestFit="1" customWidth="1"/>
    <col min="15867" max="15867" width="10.5703125" style="566" customWidth="1"/>
    <col min="15868" max="15869" width="9.28515625" style="566" bestFit="1" customWidth="1"/>
    <col min="15870" max="15870" width="10.42578125" style="566" customWidth="1"/>
    <col min="15871" max="15871" width="8.85546875" style="566" customWidth="1"/>
    <col min="15872" max="15872" width="7.7109375" style="566" customWidth="1"/>
    <col min="15873" max="15873" width="9" style="566" customWidth="1"/>
    <col min="15874" max="15874" width="11" style="566" customWidth="1"/>
    <col min="15875" max="15875" width="8.5703125" style="566" customWidth="1"/>
    <col min="15876" max="15876" width="10.7109375" style="566" customWidth="1"/>
    <col min="15877" max="15877" width="9.42578125" style="566" bestFit="1" customWidth="1"/>
    <col min="15878" max="16105" width="9.140625" style="566"/>
    <col min="16106" max="16106" width="31.140625" style="566" customWidth="1"/>
    <col min="16107" max="16108" width="9.85546875" style="566" customWidth="1"/>
    <col min="16109" max="16109" width="10.28515625" style="566" customWidth="1"/>
    <col min="16110" max="16110" width="11.42578125" style="566" customWidth="1"/>
    <col min="16111" max="16111" width="10.28515625" style="566" customWidth="1"/>
    <col min="16112" max="16113" width="9.140625" style="566"/>
    <col min="16114" max="16114" width="10.42578125" style="566" customWidth="1"/>
    <col min="16115" max="16115" width="8.7109375" style="566" customWidth="1"/>
    <col min="16116" max="16116" width="8.42578125" style="566" customWidth="1"/>
    <col min="16117" max="16119" width="9.28515625" style="566" bestFit="1" customWidth="1"/>
    <col min="16120" max="16120" width="8.140625" style="566" customWidth="1"/>
    <col min="16121" max="16121" width="8" style="566" customWidth="1"/>
    <col min="16122" max="16122" width="9.28515625" style="566" bestFit="1" customWidth="1"/>
    <col min="16123" max="16123" width="10.5703125" style="566" customWidth="1"/>
    <col min="16124" max="16125" width="9.28515625" style="566" bestFit="1" customWidth="1"/>
    <col min="16126" max="16126" width="10.42578125" style="566" customWidth="1"/>
    <col min="16127" max="16127" width="8.85546875" style="566" customWidth="1"/>
    <col min="16128" max="16128" width="7.7109375" style="566" customWidth="1"/>
    <col min="16129" max="16129" width="9" style="566" customWidth="1"/>
    <col min="16130" max="16130" width="11" style="566" customWidth="1"/>
    <col min="16131" max="16131" width="8.5703125" style="566" customWidth="1"/>
    <col min="16132" max="16132" width="10.7109375" style="566" customWidth="1"/>
    <col min="16133" max="16133" width="9.42578125" style="566" bestFit="1" customWidth="1"/>
    <col min="16134" max="16368" width="9.140625" style="566"/>
    <col min="16369" max="16372" width="9.140625" style="566" customWidth="1"/>
    <col min="16373" max="16384" width="9.140625" style="566"/>
  </cols>
  <sheetData>
    <row r="2" spans="1:13" ht="15.75" x14ac:dyDescent="0.25">
      <c r="A2" s="676" t="s">
        <v>75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566"/>
    </row>
    <row r="4" spans="1:13" s="569" customFormat="1" x14ac:dyDescent="0.25">
      <c r="A4" s="567"/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</row>
    <row r="5" spans="1:13" ht="12.75" customHeight="1" x14ac:dyDescent="0.25">
      <c r="A5" s="677" t="s">
        <v>76</v>
      </c>
      <c r="B5" s="674" t="s">
        <v>77</v>
      </c>
      <c r="C5" s="674" t="s">
        <v>78</v>
      </c>
      <c r="D5" s="674"/>
      <c r="E5" s="674" t="s">
        <v>79</v>
      </c>
      <c r="F5" s="677" t="s">
        <v>80</v>
      </c>
      <c r="G5" s="678" t="s">
        <v>81</v>
      </c>
      <c r="H5" s="678"/>
      <c r="I5" s="678"/>
      <c r="J5" s="678"/>
      <c r="K5" s="678"/>
      <c r="L5" s="678"/>
      <c r="M5" s="678"/>
    </row>
    <row r="6" spans="1:13" x14ac:dyDescent="0.25">
      <c r="A6" s="677"/>
      <c r="B6" s="674"/>
      <c r="C6" s="674"/>
      <c r="D6" s="674"/>
      <c r="E6" s="674"/>
      <c r="F6" s="677"/>
      <c r="G6" s="678"/>
      <c r="H6" s="678"/>
      <c r="I6" s="678"/>
      <c r="J6" s="678"/>
      <c r="K6" s="678"/>
      <c r="L6" s="678"/>
      <c r="M6" s="678"/>
    </row>
    <row r="7" spans="1:13" ht="33.75" customHeight="1" x14ac:dyDescent="0.25">
      <c r="A7" s="677"/>
      <c r="B7" s="674"/>
      <c r="C7" s="674"/>
      <c r="D7" s="674"/>
      <c r="E7" s="674"/>
      <c r="F7" s="677"/>
      <c r="G7" s="674" t="s">
        <v>82</v>
      </c>
      <c r="H7" s="674"/>
      <c r="I7" s="674"/>
      <c r="J7" s="674" t="s">
        <v>83</v>
      </c>
      <c r="K7" s="674" t="s">
        <v>84</v>
      </c>
      <c r="L7" s="674" t="s">
        <v>85</v>
      </c>
      <c r="M7" s="674" t="s">
        <v>86</v>
      </c>
    </row>
    <row r="8" spans="1:13" ht="120.75" customHeight="1" x14ac:dyDescent="0.25">
      <c r="A8" s="677"/>
      <c r="B8" s="674"/>
      <c r="C8" s="570" t="s">
        <v>87</v>
      </c>
      <c r="D8" s="570" t="s">
        <v>88</v>
      </c>
      <c r="E8" s="674"/>
      <c r="F8" s="677"/>
      <c r="G8" s="570" t="s">
        <v>89</v>
      </c>
      <c r="H8" s="570" t="s">
        <v>88</v>
      </c>
      <c r="I8" s="570" t="s">
        <v>90</v>
      </c>
      <c r="J8" s="674"/>
      <c r="K8" s="674"/>
      <c r="L8" s="674"/>
      <c r="M8" s="674"/>
    </row>
    <row r="9" spans="1:13" s="573" customFormat="1" ht="33.75" hidden="1" x14ac:dyDescent="0.25">
      <c r="A9" s="571">
        <v>1</v>
      </c>
      <c r="B9" s="571">
        <v>2</v>
      </c>
      <c r="C9" s="571"/>
      <c r="D9" s="571"/>
      <c r="E9" s="571" t="s">
        <v>91</v>
      </c>
      <c r="F9" s="571">
        <v>9</v>
      </c>
      <c r="G9" s="572" t="s">
        <v>92</v>
      </c>
      <c r="H9" s="572"/>
      <c r="I9" s="572"/>
      <c r="J9" s="572" t="s">
        <v>93</v>
      </c>
      <c r="K9" s="572"/>
      <c r="L9" s="572"/>
      <c r="M9" s="572"/>
    </row>
    <row r="10" spans="1:13" s="577" customFormat="1" ht="15" x14ac:dyDescent="0.25">
      <c r="A10" s="574" t="s">
        <v>94</v>
      </c>
      <c r="B10" s="575">
        <f t="shared" ref="B10:K10" si="0">B12+B24+B26+B28</f>
        <v>953</v>
      </c>
      <c r="C10" s="575">
        <f t="shared" si="0"/>
        <v>553</v>
      </c>
      <c r="D10" s="575">
        <f t="shared" si="0"/>
        <v>400</v>
      </c>
      <c r="E10" s="575">
        <f t="shared" si="0"/>
        <v>309</v>
      </c>
      <c r="F10" s="576">
        <f t="shared" si="0"/>
        <v>92790.276314100003</v>
      </c>
      <c r="G10" s="576">
        <f t="shared" si="0"/>
        <v>8449.84</v>
      </c>
      <c r="H10" s="576">
        <f t="shared" si="0"/>
        <v>4169.5999999999995</v>
      </c>
      <c r="I10" s="576">
        <f t="shared" si="0"/>
        <v>12619.440000000002</v>
      </c>
      <c r="J10" s="576">
        <f t="shared" si="0"/>
        <v>64599.557999999997</v>
      </c>
      <c r="K10" s="576">
        <f t="shared" si="0"/>
        <v>2711.4753140999992</v>
      </c>
      <c r="L10" s="576">
        <f>L12+L24+L26+L28</f>
        <v>12288.002999999999</v>
      </c>
      <c r="M10" s="576">
        <f>M12+M24+M26+M28</f>
        <v>571.80000000000007</v>
      </c>
    </row>
    <row r="11" spans="1:13" s="582" customFormat="1" x14ac:dyDescent="0.25">
      <c r="A11" s="578"/>
      <c r="B11" s="579"/>
      <c r="C11" s="579"/>
      <c r="D11" s="579"/>
      <c r="E11" s="580"/>
      <c r="F11" s="581"/>
      <c r="G11" s="581"/>
      <c r="H11" s="581"/>
      <c r="I11" s="581"/>
      <c r="J11" s="581"/>
      <c r="K11" s="581"/>
      <c r="L11" s="581"/>
      <c r="M11" s="581"/>
    </row>
    <row r="12" spans="1:13" s="569" customFormat="1" ht="14.25" x14ac:dyDescent="0.25">
      <c r="A12" s="583" t="s">
        <v>95</v>
      </c>
      <c r="B12" s="584">
        <f>SUM(B13:B23)</f>
        <v>881</v>
      </c>
      <c r="C12" s="584">
        <f t="shared" ref="C12:K12" si="1">SUM(C13:C23)</f>
        <v>535</v>
      </c>
      <c r="D12" s="584">
        <f t="shared" si="1"/>
        <v>346</v>
      </c>
      <c r="E12" s="584">
        <f t="shared" si="1"/>
        <v>293</v>
      </c>
      <c r="F12" s="585">
        <f t="shared" si="1"/>
        <v>85887.421935699997</v>
      </c>
      <c r="G12" s="585">
        <f t="shared" si="1"/>
        <v>8174.8</v>
      </c>
      <c r="H12" s="585">
        <f t="shared" si="1"/>
        <v>3606.7039999999997</v>
      </c>
      <c r="I12" s="585">
        <f>+G12+H12</f>
        <v>11781.504000000001</v>
      </c>
      <c r="J12" s="585">
        <f t="shared" si="1"/>
        <v>59418.966</v>
      </c>
      <c r="K12" s="585">
        <f t="shared" si="1"/>
        <v>2506.6209356999993</v>
      </c>
      <c r="L12" s="585">
        <f>SUM(L13:L23)</f>
        <v>11651.731</v>
      </c>
      <c r="M12" s="585">
        <f>SUM(M13:M23)</f>
        <v>528.6</v>
      </c>
    </row>
    <row r="13" spans="1:13" ht="38.25" x14ac:dyDescent="0.25">
      <c r="A13" s="586" t="s">
        <v>96</v>
      </c>
      <c r="B13" s="580">
        <f>+C13+D13</f>
        <v>89</v>
      </c>
      <c r="C13" s="587">
        <v>65</v>
      </c>
      <c r="D13" s="588">
        <v>24</v>
      </c>
      <c r="E13" s="589">
        <v>23</v>
      </c>
      <c r="F13" s="590">
        <f>+I13+J13+K13+L13+M13</f>
        <v>8736.8057733000005</v>
      </c>
      <c r="G13" s="591">
        <f>C13*$J$34/1000</f>
        <v>993.2</v>
      </c>
      <c r="H13" s="591">
        <f>D13*$K$34/1000</f>
        <v>250.17599999999999</v>
      </c>
      <c r="I13" s="590">
        <f>+G13+H13</f>
        <v>1243.376</v>
      </c>
      <c r="J13" s="581">
        <f>(($I$34*(B13-E13)*365)+($I$34*E13*181))/1000</f>
        <v>6272.1660000000002</v>
      </c>
      <c r="K13" s="590">
        <f>B13*$L$35/1000</f>
        <v>253.22277329999994</v>
      </c>
      <c r="L13" s="590">
        <f>E13*$M$34/1000</f>
        <v>914.64099999999996</v>
      </c>
      <c r="M13" s="590">
        <f>B13*$N$34*12/1000</f>
        <v>53.4</v>
      </c>
    </row>
    <row r="14" spans="1:13" ht="38.25" x14ac:dyDescent="0.25">
      <c r="A14" s="586" t="s">
        <v>97</v>
      </c>
      <c r="B14" s="580">
        <f t="shared" ref="B14:B23" si="2">+C14+D14</f>
        <v>84</v>
      </c>
      <c r="C14" s="587">
        <v>49</v>
      </c>
      <c r="D14" s="588">
        <v>35</v>
      </c>
      <c r="E14" s="589">
        <v>34</v>
      </c>
      <c r="F14" s="590">
        <f t="shared" ref="F14:F29" si="3">+I14+J14+K14+L14+M14</f>
        <v>8172.7227747999987</v>
      </c>
      <c r="G14" s="591">
        <f t="shared" ref="G14:G29" si="4">C14*$J$34/1000</f>
        <v>748.72</v>
      </c>
      <c r="H14" s="591">
        <f t="shared" ref="H14:H29" si="5">D14*$K$34/1000</f>
        <v>364.84</v>
      </c>
      <c r="I14" s="590">
        <f t="shared" ref="I14:I29" si="6">+G14+H14</f>
        <v>1113.56</v>
      </c>
      <c r="J14" s="581">
        <f t="shared" ref="J14:J29" si="7">(($I$34*(B14-E14)*365)+($I$34*E14*181))/1000</f>
        <v>5417.6880000000001</v>
      </c>
      <c r="K14" s="590">
        <f t="shared" ref="K14:K29" si="8">B14*$L$35/1000</f>
        <v>238.99677479999994</v>
      </c>
      <c r="L14" s="590">
        <f t="shared" ref="L14:L29" si="9">E14*$M$34/1000</f>
        <v>1352.078</v>
      </c>
      <c r="M14" s="590">
        <f t="shared" ref="M14:M29" si="10">B14*$N$34*12/1000</f>
        <v>50.4</v>
      </c>
    </row>
    <row r="15" spans="1:13" ht="25.5" x14ac:dyDescent="0.25">
      <c r="A15" s="586" t="s">
        <v>98</v>
      </c>
      <c r="B15" s="580">
        <f t="shared" si="2"/>
        <v>191</v>
      </c>
      <c r="C15" s="587">
        <v>103</v>
      </c>
      <c r="D15" s="588">
        <v>88</v>
      </c>
      <c r="E15" s="589">
        <v>52</v>
      </c>
      <c r="F15" s="590">
        <f t="shared" si="3"/>
        <v>18569.703142699997</v>
      </c>
      <c r="G15" s="591">
        <f t="shared" si="4"/>
        <v>1573.84</v>
      </c>
      <c r="H15" s="591">
        <f t="shared" si="5"/>
        <v>917.31200000000001</v>
      </c>
      <c r="I15" s="590">
        <f t="shared" si="6"/>
        <v>2491.152</v>
      </c>
      <c r="J15" s="581">
        <f t="shared" si="7"/>
        <v>13352.634</v>
      </c>
      <c r="K15" s="590">
        <f t="shared" si="8"/>
        <v>543.43314269999985</v>
      </c>
      <c r="L15" s="590">
        <f t="shared" si="9"/>
        <v>2067.884</v>
      </c>
      <c r="M15" s="590">
        <f t="shared" si="10"/>
        <v>114.6</v>
      </c>
    </row>
    <row r="16" spans="1:13" ht="25.5" x14ac:dyDescent="0.25">
      <c r="A16" s="586" t="s">
        <v>99</v>
      </c>
      <c r="B16" s="580">
        <f t="shared" si="2"/>
        <v>73</v>
      </c>
      <c r="C16" s="587">
        <v>44</v>
      </c>
      <c r="D16" s="588">
        <v>29</v>
      </c>
      <c r="E16" s="589">
        <v>24</v>
      </c>
      <c r="F16" s="590">
        <f t="shared" si="3"/>
        <v>7115.3615780999999</v>
      </c>
      <c r="G16" s="591">
        <f t="shared" si="4"/>
        <v>672.32</v>
      </c>
      <c r="H16" s="591">
        <f t="shared" si="5"/>
        <v>302.29599999999999</v>
      </c>
      <c r="I16" s="590">
        <f t="shared" si="6"/>
        <v>974.61599999999999</v>
      </c>
      <c r="J16" s="581">
        <f t="shared" si="7"/>
        <v>4934.8379999999997</v>
      </c>
      <c r="K16" s="590">
        <f t="shared" si="8"/>
        <v>207.69957809999997</v>
      </c>
      <c r="L16" s="590">
        <f t="shared" si="9"/>
        <v>954.40800000000002</v>
      </c>
      <c r="M16" s="590">
        <f t="shared" si="10"/>
        <v>43.8</v>
      </c>
    </row>
    <row r="17" spans="1:13" ht="25.5" x14ac:dyDescent="0.25">
      <c r="A17" s="586" t="s">
        <v>100</v>
      </c>
      <c r="B17" s="580">
        <f t="shared" si="2"/>
        <v>67</v>
      </c>
      <c r="C17" s="587">
        <v>42</v>
      </c>
      <c r="D17" s="588">
        <v>25</v>
      </c>
      <c r="E17" s="589">
        <v>20</v>
      </c>
      <c r="F17" s="590">
        <f t="shared" si="3"/>
        <v>6540.5783799000001</v>
      </c>
      <c r="G17" s="591">
        <f t="shared" si="4"/>
        <v>641.76</v>
      </c>
      <c r="H17" s="591">
        <f t="shared" si="5"/>
        <v>260.60000000000002</v>
      </c>
      <c r="I17" s="590">
        <f t="shared" si="6"/>
        <v>902.36</v>
      </c>
      <c r="J17" s="581">
        <f t="shared" si="7"/>
        <v>4612.05</v>
      </c>
      <c r="K17" s="590">
        <f t="shared" si="8"/>
        <v>190.62837989999994</v>
      </c>
      <c r="L17" s="590">
        <f t="shared" si="9"/>
        <v>795.34</v>
      </c>
      <c r="M17" s="590">
        <f t="shared" si="10"/>
        <v>40.200000000000003</v>
      </c>
    </row>
    <row r="18" spans="1:13" ht="38.25" x14ac:dyDescent="0.25">
      <c r="A18" s="586" t="s">
        <v>101</v>
      </c>
      <c r="B18" s="580">
        <f t="shared" si="2"/>
        <v>76</v>
      </c>
      <c r="C18" s="587">
        <v>42</v>
      </c>
      <c r="D18" s="588">
        <v>34</v>
      </c>
      <c r="E18" s="589">
        <v>31</v>
      </c>
      <c r="F18" s="590">
        <f t="shared" si="3"/>
        <v>7382.7801772000003</v>
      </c>
      <c r="G18" s="591">
        <f t="shared" si="4"/>
        <v>641.76</v>
      </c>
      <c r="H18" s="591">
        <f t="shared" si="5"/>
        <v>354.416</v>
      </c>
      <c r="I18" s="590">
        <f t="shared" si="6"/>
        <v>996.17599999999993</v>
      </c>
      <c r="J18" s="581">
        <f t="shared" si="7"/>
        <v>4891.9920000000002</v>
      </c>
      <c r="K18" s="590">
        <f t="shared" si="8"/>
        <v>216.23517719999995</v>
      </c>
      <c r="L18" s="590">
        <f t="shared" si="9"/>
        <v>1232.777</v>
      </c>
      <c r="M18" s="590">
        <f t="shared" si="10"/>
        <v>45.6</v>
      </c>
    </row>
    <row r="19" spans="1:13" ht="25.5" x14ac:dyDescent="0.25">
      <c r="A19" s="592" t="s">
        <v>102</v>
      </c>
      <c r="B19" s="580">
        <f t="shared" si="2"/>
        <v>141</v>
      </c>
      <c r="C19" s="587">
        <v>94</v>
      </c>
      <c r="D19" s="588">
        <v>47</v>
      </c>
      <c r="E19" s="589">
        <v>41</v>
      </c>
      <c r="F19" s="590">
        <f t="shared" si="3"/>
        <v>13792.930157699999</v>
      </c>
      <c r="G19" s="591">
        <f t="shared" si="4"/>
        <v>1436.32</v>
      </c>
      <c r="H19" s="591">
        <f t="shared" si="5"/>
        <v>489.928</v>
      </c>
      <c r="I19" s="590">
        <f t="shared" si="6"/>
        <v>1926.248</v>
      </c>
      <c r="J19" s="581">
        <f t="shared" si="7"/>
        <v>9750.4619999999995</v>
      </c>
      <c r="K19" s="590">
        <f t="shared" si="8"/>
        <v>401.17315769999988</v>
      </c>
      <c r="L19" s="590">
        <f t="shared" si="9"/>
        <v>1630.4469999999999</v>
      </c>
      <c r="M19" s="590">
        <f t="shared" si="10"/>
        <v>84.6</v>
      </c>
    </row>
    <row r="20" spans="1:13" ht="25.5" x14ac:dyDescent="0.25">
      <c r="A20" s="592" t="s">
        <v>103</v>
      </c>
      <c r="B20" s="580">
        <f t="shared" si="2"/>
        <v>56</v>
      </c>
      <c r="C20" s="587">
        <v>34</v>
      </c>
      <c r="D20" s="588">
        <v>22</v>
      </c>
      <c r="E20" s="589">
        <v>21</v>
      </c>
      <c r="F20" s="590">
        <f t="shared" si="3"/>
        <v>5456.7581831999996</v>
      </c>
      <c r="G20" s="591">
        <f t="shared" si="4"/>
        <v>519.52</v>
      </c>
      <c r="H20" s="591">
        <f t="shared" si="5"/>
        <v>229.328</v>
      </c>
      <c r="I20" s="590">
        <f t="shared" si="6"/>
        <v>748.84799999999996</v>
      </c>
      <c r="J20" s="581">
        <f t="shared" si="7"/>
        <v>3679.8719999999998</v>
      </c>
      <c r="K20" s="590">
        <f t="shared" si="8"/>
        <v>159.33118319999997</v>
      </c>
      <c r="L20" s="590">
        <f t="shared" si="9"/>
        <v>835.10699999999997</v>
      </c>
      <c r="M20" s="590">
        <f t="shared" si="10"/>
        <v>33.6</v>
      </c>
    </row>
    <row r="21" spans="1:13" ht="25.5" x14ac:dyDescent="0.25">
      <c r="A21" s="592" t="s">
        <v>104</v>
      </c>
      <c r="B21" s="580">
        <f t="shared" si="2"/>
        <v>67</v>
      </c>
      <c r="C21" s="587">
        <v>35</v>
      </c>
      <c r="D21" s="588">
        <v>32</v>
      </c>
      <c r="E21" s="589">
        <v>26</v>
      </c>
      <c r="F21" s="590">
        <f t="shared" si="3"/>
        <v>6500.1003799</v>
      </c>
      <c r="G21" s="591">
        <f t="shared" si="4"/>
        <v>534.79999999999995</v>
      </c>
      <c r="H21" s="591">
        <f t="shared" si="5"/>
        <v>333.56799999999998</v>
      </c>
      <c r="I21" s="590">
        <f t="shared" si="6"/>
        <v>868.36799999999994</v>
      </c>
      <c r="J21" s="581">
        <f t="shared" si="7"/>
        <v>4366.9620000000004</v>
      </c>
      <c r="K21" s="590">
        <f t="shared" si="8"/>
        <v>190.62837989999994</v>
      </c>
      <c r="L21" s="590">
        <f t="shared" si="9"/>
        <v>1033.942</v>
      </c>
      <c r="M21" s="590">
        <f t="shared" si="10"/>
        <v>40.200000000000003</v>
      </c>
    </row>
    <row r="22" spans="1:13" ht="38.25" x14ac:dyDescent="0.25">
      <c r="A22" s="593" t="s">
        <v>105</v>
      </c>
      <c r="B22" s="580">
        <f t="shared" si="2"/>
        <v>16</v>
      </c>
      <c r="C22" s="587">
        <v>12</v>
      </c>
      <c r="D22" s="588">
        <v>4</v>
      </c>
      <c r="E22" s="589">
        <v>10</v>
      </c>
      <c r="F22" s="590">
        <f t="shared" si="3"/>
        <v>1565.8491951999999</v>
      </c>
      <c r="G22" s="591">
        <f t="shared" si="4"/>
        <v>183.36</v>
      </c>
      <c r="H22" s="591">
        <f t="shared" si="5"/>
        <v>41.695999999999998</v>
      </c>
      <c r="I22" s="590">
        <f t="shared" si="6"/>
        <v>225.05600000000001</v>
      </c>
      <c r="J22" s="581">
        <f t="shared" si="7"/>
        <v>888</v>
      </c>
      <c r="K22" s="590">
        <f t="shared" si="8"/>
        <v>45.523195199999989</v>
      </c>
      <c r="L22" s="590">
        <f t="shared" si="9"/>
        <v>397.67</v>
      </c>
      <c r="M22" s="590">
        <f t="shared" si="10"/>
        <v>9.6</v>
      </c>
    </row>
    <row r="23" spans="1:13" ht="38.25" x14ac:dyDescent="0.25">
      <c r="A23" s="593" t="s">
        <v>106</v>
      </c>
      <c r="B23" s="580">
        <f t="shared" si="2"/>
        <v>21</v>
      </c>
      <c r="C23" s="587">
        <v>15</v>
      </c>
      <c r="D23" s="588">
        <v>6</v>
      </c>
      <c r="E23" s="589">
        <v>11</v>
      </c>
      <c r="F23" s="590">
        <f t="shared" si="3"/>
        <v>2053.8321936999996</v>
      </c>
      <c r="G23" s="591">
        <f t="shared" si="4"/>
        <v>229.2</v>
      </c>
      <c r="H23" s="591">
        <f t="shared" si="5"/>
        <v>62.543999999999997</v>
      </c>
      <c r="I23" s="590">
        <f t="shared" si="6"/>
        <v>291.74399999999997</v>
      </c>
      <c r="J23" s="581">
        <f t="shared" si="7"/>
        <v>1252.3019999999999</v>
      </c>
      <c r="K23" s="590">
        <f t="shared" si="8"/>
        <v>59.749193699999985</v>
      </c>
      <c r="L23" s="590">
        <f t="shared" si="9"/>
        <v>437.43700000000001</v>
      </c>
      <c r="M23" s="590">
        <f t="shared" si="10"/>
        <v>12.6</v>
      </c>
    </row>
    <row r="24" spans="1:13" ht="14.25" x14ac:dyDescent="0.25">
      <c r="A24" s="583" t="s">
        <v>107</v>
      </c>
      <c r="B24" s="594">
        <f>+B25</f>
        <v>35</v>
      </c>
      <c r="C24" s="594">
        <f t="shared" ref="C24:K24" si="11">+C25</f>
        <v>5</v>
      </c>
      <c r="D24" s="594">
        <f t="shared" si="11"/>
        <v>30</v>
      </c>
      <c r="E24" s="594">
        <f t="shared" si="11"/>
        <v>10</v>
      </c>
      <c r="F24" s="595">
        <f>F25</f>
        <v>3334.9419895000001</v>
      </c>
      <c r="G24" s="596">
        <f t="shared" si="11"/>
        <v>76.400000000000006</v>
      </c>
      <c r="H24" s="596">
        <f t="shared" si="11"/>
        <v>312.72000000000003</v>
      </c>
      <c r="I24" s="596">
        <f t="shared" si="11"/>
        <v>389.12</v>
      </c>
      <c r="J24" s="596">
        <f t="shared" si="11"/>
        <v>2427.5700000000002</v>
      </c>
      <c r="K24" s="596">
        <f t="shared" si="11"/>
        <v>99.581989499999963</v>
      </c>
      <c r="L24" s="595">
        <f>L25</f>
        <v>397.67</v>
      </c>
      <c r="M24" s="595">
        <f>M25</f>
        <v>21</v>
      </c>
    </row>
    <row r="25" spans="1:13" ht="25.5" x14ac:dyDescent="0.25">
      <c r="A25" s="597" t="s">
        <v>108</v>
      </c>
      <c r="B25" s="580">
        <f>C25+D25</f>
        <v>35</v>
      </c>
      <c r="C25" s="598">
        <v>5</v>
      </c>
      <c r="D25" s="598">
        <v>30</v>
      </c>
      <c r="E25" s="580">
        <v>10</v>
      </c>
      <c r="F25" s="590">
        <f t="shared" si="3"/>
        <v>3334.9419895000001</v>
      </c>
      <c r="G25" s="591">
        <f t="shared" si="4"/>
        <v>76.400000000000006</v>
      </c>
      <c r="H25" s="591">
        <f t="shared" si="5"/>
        <v>312.72000000000003</v>
      </c>
      <c r="I25" s="590">
        <f t="shared" si="6"/>
        <v>389.12</v>
      </c>
      <c r="J25" s="581">
        <f t="shared" si="7"/>
        <v>2427.5700000000002</v>
      </c>
      <c r="K25" s="590">
        <f t="shared" si="8"/>
        <v>99.581989499999963</v>
      </c>
      <c r="L25" s="590">
        <f t="shared" si="9"/>
        <v>397.67</v>
      </c>
      <c r="M25" s="590">
        <f t="shared" si="10"/>
        <v>21</v>
      </c>
    </row>
    <row r="26" spans="1:13" ht="14.25" x14ac:dyDescent="0.25">
      <c r="A26" s="583" t="s">
        <v>109</v>
      </c>
      <c r="B26" s="594">
        <f>+B27</f>
        <v>30</v>
      </c>
      <c r="C26" s="594">
        <f t="shared" ref="C26:K26" si="12">+C27</f>
        <v>10</v>
      </c>
      <c r="D26" s="594">
        <f t="shared" si="12"/>
        <v>20</v>
      </c>
      <c r="E26" s="594">
        <f t="shared" si="12"/>
        <v>5</v>
      </c>
      <c r="F26" s="595">
        <f>F27</f>
        <v>2890.1309909999995</v>
      </c>
      <c r="G26" s="596">
        <f t="shared" si="12"/>
        <v>152.80000000000001</v>
      </c>
      <c r="H26" s="596">
        <f t="shared" si="12"/>
        <v>208.48</v>
      </c>
      <c r="I26" s="596">
        <f t="shared" si="12"/>
        <v>361.28</v>
      </c>
      <c r="J26" s="596">
        <f t="shared" si="12"/>
        <v>2226.66</v>
      </c>
      <c r="K26" s="596">
        <f t="shared" si="12"/>
        <v>85.355990999999975</v>
      </c>
      <c r="L26" s="595">
        <f>L27</f>
        <v>198.83500000000001</v>
      </c>
      <c r="M26" s="595">
        <f>M27</f>
        <v>18</v>
      </c>
    </row>
    <row r="27" spans="1:13" ht="38.25" x14ac:dyDescent="0.25">
      <c r="A27" s="597" t="s">
        <v>110</v>
      </c>
      <c r="B27" s="580">
        <v>30</v>
      </c>
      <c r="C27" s="598">
        <v>10</v>
      </c>
      <c r="D27" s="598">
        <v>20</v>
      </c>
      <c r="E27" s="580">
        <v>5</v>
      </c>
      <c r="F27" s="581">
        <f t="shared" si="3"/>
        <v>2890.1309909999995</v>
      </c>
      <c r="G27" s="591">
        <f t="shared" si="4"/>
        <v>152.80000000000001</v>
      </c>
      <c r="H27" s="591">
        <f t="shared" si="5"/>
        <v>208.48</v>
      </c>
      <c r="I27" s="590">
        <f t="shared" si="6"/>
        <v>361.28</v>
      </c>
      <c r="J27" s="581">
        <f t="shared" si="7"/>
        <v>2226.66</v>
      </c>
      <c r="K27" s="590">
        <f t="shared" si="8"/>
        <v>85.355990999999975</v>
      </c>
      <c r="L27" s="590">
        <f t="shared" si="9"/>
        <v>198.83500000000001</v>
      </c>
      <c r="M27" s="590">
        <f t="shared" si="10"/>
        <v>18</v>
      </c>
    </row>
    <row r="28" spans="1:13" s="599" customFormat="1" ht="14.25" x14ac:dyDescent="0.25">
      <c r="A28" s="583" t="s">
        <v>111</v>
      </c>
      <c r="B28" s="594">
        <f t="shared" ref="B28:K28" si="13">+B29+B30</f>
        <v>7</v>
      </c>
      <c r="C28" s="594">
        <f t="shared" si="13"/>
        <v>3</v>
      </c>
      <c r="D28" s="594">
        <f t="shared" si="13"/>
        <v>4</v>
      </c>
      <c r="E28" s="594">
        <f t="shared" si="13"/>
        <v>1</v>
      </c>
      <c r="F28" s="595">
        <f>F29</f>
        <v>677.7813979</v>
      </c>
      <c r="G28" s="596">
        <f t="shared" si="13"/>
        <v>45.84</v>
      </c>
      <c r="H28" s="596">
        <f t="shared" si="13"/>
        <v>41.695999999999998</v>
      </c>
      <c r="I28" s="596">
        <f t="shared" si="13"/>
        <v>87.536000000000001</v>
      </c>
      <c r="J28" s="596">
        <f t="shared" si="13"/>
        <v>526.36199999999997</v>
      </c>
      <c r="K28" s="596">
        <f t="shared" si="13"/>
        <v>19.916397899999996</v>
      </c>
      <c r="L28" s="595">
        <f>L29</f>
        <v>39.767000000000003</v>
      </c>
      <c r="M28" s="595">
        <f>M29</f>
        <v>4.2</v>
      </c>
    </row>
    <row r="29" spans="1:13" x14ac:dyDescent="0.25">
      <c r="A29" s="597" t="s">
        <v>112</v>
      </c>
      <c r="B29" s="580">
        <f>+C29+D29</f>
        <v>7</v>
      </c>
      <c r="C29" s="598">
        <v>3</v>
      </c>
      <c r="D29" s="598">
        <v>4</v>
      </c>
      <c r="E29" s="580">
        <v>1</v>
      </c>
      <c r="F29" s="590">
        <f t="shared" si="3"/>
        <v>677.7813979</v>
      </c>
      <c r="G29" s="591">
        <f t="shared" si="4"/>
        <v>45.84</v>
      </c>
      <c r="H29" s="591">
        <f t="shared" si="5"/>
        <v>41.695999999999998</v>
      </c>
      <c r="I29" s="590">
        <f t="shared" si="6"/>
        <v>87.536000000000001</v>
      </c>
      <c r="J29" s="581">
        <f t="shared" si="7"/>
        <v>526.36199999999997</v>
      </c>
      <c r="K29" s="590">
        <f t="shared" si="8"/>
        <v>19.916397899999996</v>
      </c>
      <c r="L29" s="590">
        <f t="shared" si="9"/>
        <v>39.767000000000003</v>
      </c>
      <c r="M29" s="590">
        <f t="shared" si="10"/>
        <v>4.2</v>
      </c>
    </row>
    <row r="30" spans="1:13" x14ac:dyDescent="0.25">
      <c r="A30" s="597"/>
      <c r="B30" s="587"/>
      <c r="C30" s="587"/>
      <c r="D30" s="587"/>
      <c r="E30" s="598"/>
      <c r="F30" s="600"/>
      <c r="G30" s="600"/>
      <c r="H30" s="600"/>
      <c r="I30" s="581"/>
      <c r="J30" s="581"/>
      <c r="K30" s="581"/>
      <c r="L30" s="581"/>
      <c r="M30" s="581"/>
    </row>
    <row r="31" spans="1:13" s="602" customFormat="1" x14ac:dyDescent="0.25">
      <c r="A31" s="601"/>
    </row>
    <row r="32" spans="1:13" s="602" customFormat="1" x14ac:dyDescent="0.25">
      <c r="A32" s="601"/>
    </row>
    <row r="33" spans="1:14" s="602" customFormat="1" ht="63.75" x14ac:dyDescent="0.25">
      <c r="A33" s="603"/>
      <c r="B33" s="570" t="s">
        <v>113</v>
      </c>
      <c r="C33" s="570" t="s">
        <v>114</v>
      </c>
      <c r="D33" s="570" t="s">
        <v>115</v>
      </c>
      <c r="E33" s="570" t="s">
        <v>116</v>
      </c>
      <c r="F33" s="570" t="s">
        <v>117</v>
      </c>
      <c r="G33" s="604"/>
      <c r="H33" s="605" t="s">
        <v>118</v>
      </c>
      <c r="I33" s="570" t="s">
        <v>119</v>
      </c>
      <c r="J33" s="570" t="s">
        <v>120</v>
      </c>
      <c r="K33" s="570" t="s">
        <v>121</v>
      </c>
      <c r="L33" s="570" t="s">
        <v>122</v>
      </c>
      <c r="M33" s="570" t="s">
        <v>123</v>
      </c>
      <c r="N33" s="570" t="s">
        <v>124</v>
      </c>
    </row>
    <row r="34" spans="1:14" s="602" customFormat="1" ht="15" x14ac:dyDescent="0.25">
      <c r="A34" s="606" t="s">
        <v>125</v>
      </c>
      <c r="B34" s="607">
        <v>881</v>
      </c>
      <c r="C34" s="600">
        <v>70034.3</v>
      </c>
      <c r="D34" s="607">
        <f>B12</f>
        <v>881</v>
      </c>
      <c r="E34" s="600">
        <f>F12</f>
        <v>85887.421935699997</v>
      </c>
      <c r="F34" s="608">
        <f>E34-C34</f>
        <v>15853.121935699994</v>
      </c>
      <c r="G34" s="609"/>
      <c r="H34" s="610" t="s">
        <v>126</v>
      </c>
      <c r="I34" s="607">
        <v>222</v>
      </c>
      <c r="J34" s="607">
        <v>15280</v>
      </c>
      <c r="K34" s="607">
        <v>10424</v>
      </c>
      <c r="L34" s="607">
        <f>433*1.4*1.5*3</f>
        <v>2727.8999999999996</v>
      </c>
      <c r="M34" s="607">
        <f>39267+500</f>
        <v>39767</v>
      </c>
      <c r="N34" s="607">
        <v>50</v>
      </c>
    </row>
    <row r="35" spans="1:14" s="602" customFormat="1" ht="15" x14ac:dyDescent="0.25">
      <c r="A35" s="606" t="s">
        <v>107</v>
      </c>
      <c r="B35" s="607">
        <v>45</v>
      </c>
      <c r="C35" s="600">
        <v>3300.9</v>
      </c>
      <c r="D35" s="607">
        <f>B24</f>
        <v>35</v>
      </c>
      <c r="E35" s="600">
        <f>F24</f>
        <v>3334.9419895000001</v>
      </c>
      <c r="F35" s="608">
        <f t="shared" ref="F35:F37" si="14">E35-C35</f>
        <v>34.0419895</v>
      </c>
      <c r="G35" s="609"/>
      <c r="H35" s="610" t="s">
        <v>127</v>
      </c>
      <c r="I35" s="607">
        <f>I34*1.043</f>
        <v>231.54599999999999</v>
      </c>
      <c r="J35" s="607">
        <f t="shared" ref="J35:K35" si="15">J34*1.043</f>
        <v>15937.039999999999</v>
      </c>
      <c r="K35" s="607">
        <f t="shared" si="15"/>
        <v>10872.232</v>
      </c>
      <c r="L35" s="607">
        <f>L34*1.043</f>
        <v>2845.1996999999992</v>
      </c>
      <c r="M35" s="607">
        <f t="shared" ref="M35:N35" si="16">M34*1.043</f>
        <v>41476.981</v>
      </c>
      <c r="N35" s="607">
        <f t="shared" si="16"/>
        <v>52.15</v>
      </c>
    </row>
    <row r="36" spans="1:14" s="602" customFormat="1" ht="15" x14ac:dyDescent="0.25">
      <c r="A36" s="606" t="s">
        <v>109</v>
      </c>
      <c r="B36" s="607">
        <v>35</v>
      </c>
      <c r="C36" s="600">
        <v>2635.1</v>
      </c>
      <c r="D36" s="607">
        <f>B26</f>
        <v>30</v>
      </c>
      <c r="E36" s="600">
        <f>F26</f>
        <v>2890.1309909999995</v>
      </c>
      <c r="F36" s="608">
        <f t="shared" si="14"/>
        <v>255.03099099999963</v>
      </c>
      <c r="G36" s="609"/>
      <c r="H36" s="611"/>
      <c r="I36" s="612"/>
      <c r="J36" s="611"/>
      <c r="K36" s="613"/>
      <c r="L36" s="613"/>
      <c r="M36" s="613"/>
    </row>
    <row r="37" spans="1:14" s="602" customFormat="1" ht="15" x14ac:dyDescent="0.25">
      <c r="A37" s="606" t="s">
        <v>111</v>
      </c>
      <c r="B37" s="607">
        <v>20</v>
      </c>
      <c r="C37" s="600">
        <v>1518.5</v>
      </c>
      <c r="D37" s="607">
        <f>B28</f>
        <v>7</v>
      </c>
      <c r="E37" s="600">
        <f>F28</f>
        <v>677.7813979</v>
      </c>
      <c r="F37" s="608">
        <f t="shared" si="14"/>
        <v>-840.7186021</v>
      </c>
      <c r="G37" s="609"/>
      <c r="H37" s="611"/>
      <c r="I37" s="612"/>
      <c r="J37" s="611"/>
      <c r="K37" s="613"/>
      <c r="L37" s="613"/>
      <c r="M37" s="613"/>
    </row>
    <row r="38" spans="1:14" s="602" customFormat="1" ht="14.25" x14ac:dyDescent="0.25">
      <c r="A38" s="614" t="s">
        <v>128</v>
      </c>
      <c r="B38" s="615">
        <f>SUM(B34:B37)</f>
        <v>981</v>
      </c>
      <c r="C38" s="581">
        <f>SUM(C34:C37)</f>
        <v>77488.800000000003</v>
      </c>
      <c r="D38" s="615">
        <f t="shared" ref="D38:F38" si="17">SUM(D34:D37)</f>
        <v>953</v>
      </c>
      <c r="E38" s="581">
        <f t="shared" si="17"/>
        <v>92790.276314100003</v>
      </c>
      <c r="F38" s="581">
        <f t="shared" si="17"/>
        <v>15301.476314099993</v>
      </c>
      <c r="G38" s="611"/>
      <c r="H38" s="611"/>
      <c r="I38" s="612"/>
      <c r="J38" s="611"/>
    </row>
    <row r="39" spans="1:14" s="602" customFormat="1" ht="15" x14ac:dyDescent="0.25">
      <c r="A39" s="616"/>
    </row>
    <row r="40" spans="1:14" s="602" customFormat="1" x14ac:dyDescent="0.25">
      <c r="A40" s="601"/>
    </row>
    <row r="41" spans="1:14" s="602" customFormat="1" ht="36" customHeight="1" x14ac:dyDescent="0.25">
      <c r="A41" s="675" t="s">
        <v>129</v>
      </c>
      <c r="B41" s="675"/>
      <c r="C41" s="675"/>
      <c r="D41" s="675"/>
      <c r="E41" s="675"/>
      <c r="F41" s="675"/>
      <c r="G41" s="675"/>
      <c r="H41" s="675"/>
      <c r="I41" s="675"/>
      <c r="J41" s="675"/>
      <c r="K41" s="675"/>
      <c r="L41" s="675"/>
    </row>
    <row r="42" spans="1:14" s="602" customFormat="1" x14ac:dyDescent="0.25">
      <c r="A42" s="601"/>
    </row>
    <row r="43" spans="1:14" s="602" customFormat="1" x14ac:dyDescent="0.25">
      <c r="A43" s="601"/>
    </row>
    <row r="44" spans="1:14" s="602" customFormat="1" x14ac:dyDescent="0.25">
      <c r="A44" s="601"/>
    </row>
    <row r="45" spans="1:14" s="602" customFormat="1" x14ac:dyDescent="0.25">
      <c r="A45" s="601"/>
    </row>
    <row r="46" spans="1:14" s="602" customFormat="1" x14ac:dyDescent="0.25">
      <c r="A46" s="601"/>
    </row>
    <row r="47" spans="1:14" s="602" customFormat="1" x14ac:dyDescent="0.25">
      <c r="A47" s="601"/>
    </row>
    <row r="48" spans="1:14" s="602" customFormat="1" x14ac:dyDescent="0.25">
      <c r="A48" s="601"/>
    </row>
    <row r="54" spans="1:13" x14ac:dyDescent="0.25">
      <c r="D54" s="566"/>
      <c r="E54" s="566"/>
      <c r="F54" s="566"/>
      <c r="G54" s="566"/>
      <c r="H54" s="566"/>
      <c r="I54" s="566"/>
      <c r="J54" s="566"/>
    </row>
    <row r="55" spans="1:13" x14ac:dyDescent="0.25">
      <c r="A55" s="566"/>
      <c r="B55" s="566"/>
      <c r="C55" s="566"/>
      <c r="D55" s="566"/>
      <c r="E55" s="566"/>
      <c r="F55" s="566"/>
      <c r="G55" s="566"/>
      <c r="H55" s="566"/>
      <c r="I55" s="566"/>
      <c r="J55" s="566"/>
      <c r="K55" s="566"/>
      <c r="L55" s="566"/>
      <c r="M55" s="566"/>
    </row>
    <row r="56" spans="1:13" x14ac:dyDescent="0.25">
      <c r="A56" s="566"/>
      <c r="B56" s="566"/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</row>
    <row r="57" spans="1:13" x14ac:dyDescent="0.25">
      <c r="A57" s="566"/>
      <c r="B57" s="566"/>
      <c r="C57" s="566"/>
      <c r="D57" s="566"/>
      <c r="E57" s="566"/>
      <c r="F57" s="566"/>
      <c r="G57" s="566"/>
      <c r="H57" s="566"/>
      <c r="I57" s="566"/>
      <c r="J57" s="566"/>
      <c r="K57" s="566"/>
      <c r="L57" s="566"/>
      <c r="M57" s="566"/>
    </row>
    <row r="58" spans="1:13" x14ac:dyDescent="0.25">
      <c r="A58" s="566"/>
      <c r="B58" s="566"/>
      <c r="C58" s="566"/>
      <c r="D58" s="566"/>
      <c r="E58" s="566"/>
      <c r="F58" s="566"/>
      <c r="G58" s="566"/>
      <c r="H58" s="566"/>
      <c r="I58" s="566"/>
      <c r="J58" s="566"/>
      <c r="K58" s="566"/>
      <c r="L58" s="566"/>
      <c r="M58" s="566"/>
    </row>
    <row r="59" spans="1:13" x14ac:dyDescent="0.25">
      <c r="A59" s="566"/>
      <c r="B59" s="566"/>
      <c r="C59" s="566"/>
      <c r="D59" s="566"/>
      <c r="E59" s="566"/>
      <c r="F59" s="566"/>
      <c r="G59" s="566"/>
      <c r="H59" s="566"/>
      <c r="I59" s="566"/>
      <c r="J59" s="566"/>
      <c r="K59" s="566"/>
      <c r="L59" s="566"/>
      <c r="M59" s="566"/>
    </row>
    <row r="60" spans="1:13" x14ac:dyDescent="0.25">
      <c r="A60" s="566"/>
      <c r="B60" s="566"/>
      <c r="C60" s="566"/>
      <c r="D60" s="566"/>
      <c r="E60" s="566"/>
      <c r="F60" s="566"/>
      <c r="G60" s="566"/>
      <c r="H60" s="566"/>
      <c r="I60" s="566"/>
      <c r="J60" s="566"/>
      <c r="K60" s="566"/>
      <c r="L60" s="566"/>
      <c r="M60" s="566"/>
    </row>
    <row r="61" spans="1:13" x14ac:dyDescent="0.25">
      <c r="A61" s="566"/>
      <c r="B61" s="566"/>
      <c r="C61" s="566"/>
      <c r="D61" s="566"/>
      <c r="E61" s="566"/>
      <c r="F61" s="566"/>
      <c r="G61" s="566"/>
      <c r="H61" s="566"/>
      <c r="I61" s="566"/>
      <c r="J61" s="566"/>
      <c r="K61" s="566"/>
      <c r="L61" s="566"/>
      <c r="M61" s="566"/>
    </row>
    <row r="62" spans="1:13" x14ac:dyDescent="0.25">
      <c r="A62" s="566"/>
      <c r="B62" s="566"/>
      <c r="C62" s="566"/>
      <c r="D62" s="566"/>
      <c r="E62" s="566"/>
      <c r="F62" s="566"/>
      <c r="G62" s="566"/>
      <c r="H62" s="566"/>
      <c r="I62" s="566"/>
      <c r="J62" s="566"/>
      <c r="K62" s="566"/>
      <c r="L62" s="566"/>
      <c r="M62" s="566"/>
    </row>
    <row r="63" spans="1:13" x14ac:dyDescent="0.25">
      <c r="A63" s="566"/>
      <c r="B63" s="566"/>
      <c r="C63" s="566"/>
      <c r="D63" s="566"/>
      <c r="E63" s="566"/>
      <c r="F63" s="566"/>
      <c r="G63" s="566"/>
      <c r="H63" s="566"/>
      <c r="I63" s="566"/>
      <c r="J63" s="566"/>
      <c r="K63" s="566"/>
      <c r="L63" s="566"/>
      <c r="M63" s="566"/>
    </row>
    <row r="64" spans="1:13" x14ac:dyDescent="0.25">
      <c r="A64" s="566"/>
      <c r="B64" s="566"/>
      <c r="C64" s="566"/>
      <c r="D64" s="566"/>
      <c r="E64" s="566"/>
      <c r="F64" s="566"/>
      <c r="G64" s="566"/>
      <c r="H64" s="566"/>
      <c r="I64" s="566"/>
      <c r="J64" s="566"/>
      <c r="K64" s="566"/>
      <c r="L64" s="566"/>
      <c r="M64" s="566"/>
    </row>
    <row r="65" spans="1:13" x14ac:dyDescent="0.25">
      <c r="A65" s="566"/>
      <c r="B65" s="566"/>
      <c r="C65" s="566"/>
      <c r="D65" s="566"/>
      <c r="E65" s="566"/>
      <c r="F65" s="566"/>
      <c r="G65" s="566"/>
      <c r="H65" s="566"/>
      <c r="I65" s="566"/>
      <c r="J65" s="566"/>
      <c r="K65" s="566"/>
      <c r="L65" s="566"/>
      <c r="M65" s="566"/>
    </row>
    <row r="66" spans="1:13" x14ac:dyDescent="0.25">
      <c r="A66" s="566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566"/>
    </row>
    <row r="67" spans="1:13" x14ac:dyDescent="0.25">
      <c r="A67" s="566"/>
      <c r="B67" s="566"/>
      <c r="C67" s="566"/>
      <c r="D67" s="566"/>
      <c r="E67" s="566"/>
      <c r="F67" s="566"/>
      <c r="G67" s="566"/>
      <c r="H67" s="566"/>
      <c r="I67" s="566"/>
      <c r="J67" s="566"/>
      <c r="K67" s="566"/>
      <c r="L67" s="566"/>
      <c r="M67" s="566"/>
    </row>
    <row r="68" spans="1:13" x14ac:dyDescent="0.25">
      <c r="A68" s="566"/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</row>
    <row r="69" spans="1:13" x14ac:dyDescent="0.25">
      <c r="A69" s="566"/>
      <c r="B69" s="566"/>
      <c r="C69" s="566"/>
      <c r="K69" s="566"/>
      <c r="L69" s="566"/>
      <c r="M69" s="566"/>
    </row>
  </sheetData>
  <mergeCells count="13">
    <mergeCell ref="L7:L8"/>
    <mergeCell ref="M7:M8"/>
    <mergeCell ref="A41:L41"/>
    <mergeCell ref="A2:L2"/>
    <mergeCell ref="A5:A8"/>
    <mergeCell ref="B5:B8"/>
    <mergeCell ref="C5:D7"/>
    <mergeCell ref="E5:E8"/>
    <mergeCell ref="F5:F8"/>
    <mergeCell ref="G5:M6"/>
    <mergeCell ref="G7:I7"/>
    <mergeCell ref="J7:J8"/>
    <mergeCell ref="K7:K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theme="5" tint="-0.249977111117893"/>
  </sheetPr>
  <dimension ref="A1:AI43"/>
  <sheetViews>
    <sheetView view="pageBreakPreview" zoomScale="85" zoomScaleNormal="90" zoomScaleSheetLayoutView="85" workbookViewId="0">
      <pane xSplit="2" ySplit="5" topLeftCell="C26" activePane="bottomRight" state="frozen"/>
      <selection pane="topRight" activeCell="C1" sqref="C1"/>
      <selection pane="bottomLeft" activeCell="A7" sqref="A7"/>
      <selection pane="bottomRight" activeCell="M34" sqref="M34:M36"/>
    </sheetView>
  </sheetViews>
  <sheetFormatPr defaultRowHeight="15.75" x14ac:dyDescent="0.25"/>
  <cols>
    <col min="1" max="1" width="5.28515625" style="185" customWidth="1"/>
    <col min="2" max="2" width="35.5703125" style="184" customWidth="1"/>
    <col min="3" max="3" width="15.140625" style="185" customWidth="1"/>
    <col min="4" max="4" width="14" style="185" customWidth="1"/>
    <col min="5" max="5" width="12.7109375" style="185" customWidth="1"/>
    <col min="6" max="6" width="13.140625" style="185" customWidth="1"/>
    <col min="7" max="7" width="12.28515625" style="185" customWidth="1"/>
    <col min="8" max="8" width="11.7109375" style="185" customWidth="1"/>
    <col min="9" max="9" width="11.140625" style="185" customWidth="1"/>
    <col min="10" max="10" width="14.42578125" style="185" customWidth="1"/>
    <col min="11" max="11" width="13.85546875" style="185" customWidth="1"/>
    <col min="12" max="12" width="13.140625" style="185" customWidth="1"/>
    <col min="13" max="13" width="15.7109375" style="185" customWidth="1"/>
    <col min="14" max="17" width="12.140625" style="185" customWidth="1"/>
    <col min="18" max="18" width="12.5703125" style="185" customWidth="1"/>
    <col min="19" max="20" width="15.28515625" style="185" customWidth="1"/>
    <col min="21" max="21" width="13.7109375" style="185" customWidth="1"/>
    <col min="22" max="22" width="14.5703125" style="185" customWidth="1"/>
    <col min="23" max="24" width="13.7109375" style="185" customWidth="1"/>
    <col min="25" max="25" width="11.7109375" style="185" customWidth="1"/>
    <col min="26" max="26" width="13.42578125" style="185" customWidth="1"/>
    <col min="27" max="27" width="11.7109375" style="185" customWidth="1"/>
    <col min="28" max="28" width="13.5703125" style="185" customWidth="1"/>
    <col min="29" max="29" width="13.42578125" style="185" bestFit="1" customWidth="1"/>
    <col min="30" max="32" width="0" style="184" hidden="1" customWidth="1"/>
    <col min="33" max="35" width="9.140625" style="184"/>
    <col min="36" max="16384" width="9.140625" style="183"/>
  </cols>
  <sheetData>
    <row r="1" spans="1:35" ht="15.75" customHeight="1" x14ac:dyDescent="0.25">
      <c r="B1" s="708" t="s">
        <v>171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241"/>
      <c r="W1" s="241"/>
      <c r="X1" s="241"/>
      <c r="Y1" s="241"/>
      <c r="Z1" s="241"/>
      <c r="AA1" s="241"/>
      <c r="AB1" s="241"/>
    </row>
    <row r="2" spans="1:35" ht="15.75" customHeight="1" x14ac:dyDescent="0.25">
      <c r="B2" s="225"/>
      <c r="C2" s="225"/>
      <c r="D2" s="225"/>
      <c r="E2" s="225"/>
      <c r="F2" s="225"/>
      <c r="G2" s="241"/>
      <c r="H2" s="241"/>
      <c r="I2" s="241"/>
      <c r="J2" s="241"/>
      <c r="K2" s="225"/>
      <c r="L2" s="225"/>
      <c r="M2" s="241"/>
      <c r="N2" s="241"/>
      <c r="O2" s="241"/>
      <c r="P2" s="241"/>
      <c r="Q2" s="241"/>
      <c r="R2" s="225"/>
      <c r="S2" s="225"/>
      <c r="T2" s="241"/>
      <c r="U2" s="225"/>
      <c r="V2" s="241"/>
      <c r="W2" s="241"/>
      <c r="X2" s="241"/>
      <c r="Y2" s="241"/>
      <c r="Z2" s="241"/>
      <c r="AA2" s="241"/>
      <c r="AB2" s="241"/>
      <c r="AC2" s="224" t="s">
        <v>170</v>
      </c>
    </row>
    <row r="3" spans="1:35" ht="64.5" customHeight="1" thickBot="1" x14ac:dyDescent="0.3">
      <c r="A3" s="719" t="s">
        <v>17</v>
      </c>
      <c r="B3" s="716" t="s">
        <v>169</v>
      </c>
      <c r="C3" s="714" t="s">
        <v>168</v>
      </c>
      <c r="D3" s="700" t="s">
        <v>167</v>
      </c>
      <c r="E3" s="709" t="s">
        <v>166</v>
      </c>
      <c r="F3" s="710"/>
      <c r="G3" s="711"/>
      <c r="H3" s="691" t="s">
        <v>279</v>
      </c>
      <c r="I3" s="692"/>
      <c r="J3" s="693"/>
      <c r="K3" s="691" t="s">
        <v>302</v>
      </c>
      <c r="L3" s="692"/>
      <c r="M3" s="693"/>
      <c r="N3" s="699" t="s">
        <v>268</v>
      </c>
      <c r="O3" s="699"/>
      <c r="P3" s="699"/>
      <c r="Q3" s="699"/>
      <c r="R3" s="699" t="s">
        <v>267</v>
      </c>
      <c r="S3" s="699"/>
      <c r="T3" s="699"/>
      <c r="U3" s="699"/>
      <c r="V3" s="691" t="s">
        <v>276</v>
      </c>
      <c r="W3" s="692"/>
      <c r="X3" s="693"/>
      <c r="Y3" s="699" t="s">
        <v>269</v>
      </c>
      <c r="Z3" s="699"/>
      <c r="AA3" s="699"/>
      <c r="AB3" s="699"/>
      <c r="AC3" s="707" t="s">
        <v>277</v>
      </c>
      <c r="AD3" s="701"/>
      <c r="AE3" s="701"/>
      <c r="AF3" s="702"/>
    </row>
    <row r="4" spans="1:35" ht="29.25" customHeight="1" x14ac:dyDescent="0.25">
      <c r="A4" s="720"/>
      <c r="B4" s="717"/>
      <c r="C4" s="715"/>
      <c r="D4" s="700"/>
      <c r="E4" s="712"/>
      <c r="F4" s="713"/>
      <c r="G4" s="703"/>
      <c r="H4" s="700" t="s">
        <v>165</v>
      </c>
      <c r="I4" s="700" t="s">
        <v>164</v>
      </c>
      <c r="J4" s="700" t="s">
        <v>271</v>
      </c>
      <c r="K4" s="700" t="s">
        <v>165</v>
      </c>
      <c r="L4" s="700" t="s">
        <v>164</v>
      </c>
      <c r="M4" s="700" t="s">
        <v>271</v>
      </c>
      <c r="N4" s="700" t="s">
        <v>163</v>
      </c>
      <c r="O4" s="700" t="s">
        <v>162</v>
      </c>
      <c r="P4" s="700" t="s">
        <v>271</v>
      </c>
      <c r="Q4" s="699" t="s">
        <v>90</v>
      </c>
      <c r="R4" s="700" t="s">
        <v>163</v>
      </c>
      <c r="S4" s="700" t="s">
        <v>162</v>
      </c>
      <c r="T4" s="700" t="s">
        <v>271</v>
      </c>
      <c r="U4" s="699" t="s">
        <v>90</v>
      </c>
      <c r="V4" s="689" t="s">
        <v>274</v>
      </c>
      <c r="W4" s="689" t="s">
        <v>275</v>
      </c>
      <c r="X4" s="689" t="s">
        <v>90</v>
      </c>
      <c r="Y4" s="700" t="s">
        <v>163</v>
      </c>
      <c r="Z4" s="700" t="s">
        <v>162</v>
      </c>
      <c r="AA4" s="700" t="s">
        <v>271</v>
      </c>
      <c r="AB4" s="699" t="s">
        <v>90</v>
      </c>
      <c r="AC4" s="707"/>
      <c r="AD4" s="703" t="s">
        <v>161</v>
      </c>
      <c r="AE4" s="705" t="s">
        <v>160</v>
      </c>
      <c r="AF4" s="706"/>
    </row>
    <row r="5" spans="1:35" ht="63.75" customHeight="1" x14ac:dyDescent="0.25">
      <c r="A5" s="721"/>
      <c r="B5" s="718"/>
      <c r="C5" s="705"/>
      <c r="D5" s="700"/>
      <c r="E5" s="222" t="s">
        <v>159</v>
      </c>
      <c r="F5" s="222" t="s">
        <v>158</v>
      </c>
      <c r="G5" s="240" t="s">
        <v>273</v>
      </c>
      <c r="H5" s="700"/>
      <c r="I5" s="700"/>
      <c r="J5" s="700"/>
      <c r="K5" s="700"/>
      <c r="L5" s="700"/>
      <c r="M5" s="700"/>
      <c r="N5" s="700"/>
      <c r="O5" s="700"/>
      <c r="P5" s="700"/>
      <c r="Q5" s="699"/>
      <c r="R5" s="700"/>
      <c r="S5" s="700"/>
      <c r="T5" s="700"/>
      <c r="U5" s="699"/>
      <c r="V5" s="690"/>
      <c r="W5" s="690"/>
      <c r="X5" s="690"/>
      <c r="Y5" s="700"/>
      <c r="Z5" s="700"/>
      <c r="AA5" s="700"/>
      <c r="AB5" s="699"/>
      <c r="AC5" s="707"/>
      <c r="AD5" s="704"/>
      <c r="AE5" s="222" t="s">
        <v>157</v>
      </c>
      <c r="AF5" s="223" t="s">
        <v>156</v>
      </c>
    </row>
    <row r="6" spans="1:35" s="318" customFormat="1" ht="31.5" x14ac:dyDescent="0.25">
      <c r="A6" s="319" t="s">
        <v>155</v>
      </c>
      <c r="B6" s="321" t="s">
        <v>270</v>
      </c>
      <c r="C6" s="221">
        <f>SUM(C7:C18)</f>
        <v>41225</v>
      </c>
      <c r="D6" s="196">
        <f>SUM(D7:D18)</f>
        <v>5751</v>
      </c>
      <c r="E6" s="196">
        <f>SUM(E7:E18)</f>
        <v>881</v>
      </c>
      <c r="F6" s="196">
        <f>SUM(F7:F18)</f>
        <v>4870</v>
      </c>
      <c r="G6" s="196">
        <f>SUM(G7:G18)</f>
        <v>0</v>
      </c>
      <c r="H6" s="196" t="s">
        <v>155</v>
      </c>
      <c r="I6" s="196" t="s">
        <v>155</v>
      </c>
      <c r="J6" s="196" t="s">
        <v>155</v>
      </c>
      <c r="K6" s="196" t="s">
        <v>155</v>
      </c>
      <c r="L6" s="196" t="s">
        <v>155</v>
      </c>
      <c r="M6" s="196" t="s">
        <v>155</v>
      </c>
      <c r="N6" s="221">
        <f t="shared" ref="N6:X6" si="0">SUM(N7:N18)</f>
        <v>6419.6580000000004</v>
      </c>
      <c r="O6" s="221">
        <f t="shared" si="0"/>
        <v>23686.4856</v>
      </c>
      <c r="P6" s="221">
        <f t="shared" si="0"/>
        <v>0</v>
      </c>
      <c r="Q6" s="221">
        <f t="shared" si="0"/>
        <v>30106.143599999992</v>
      </c>
      <c r="R6" s="221">
        <f t="shared" si="0"/>
        <v>3338.2221599999998</v>
      </c>
      <c r="S6" s="221">
        <f t="shared" si="0"/>
        <v>12316.972512000002</v>
      </c>
      <c r="T6" s="221">
        <f t="shared" si="0"/>
        <v>0</v>
      </c>
      <c r="U6" s="221">
        <f t="shared" si="0"/>
        <v>15655.194671999998</v>
      </c>
      <c r="V6" s="221">
        <f t="shared" si="0"/>
        <v>0</v>
      </c>
      <c r="W6" s="221">
        <f t="shared" si="0"/>
        <v>0</v>
      </c>
      <c r="X6" s="221">
        <f t="shared" si="0"/>
        <v>0</v>
      </c>
      <c r="Y6" s="221">
        <f t="shared" ref="Y6:AB6" si="1">SUM(Y7:Y18)</f>
        <v>9757.8801600000024</v>
      </c>
      <c r="Z6" s="221">
        <f t="shared" si="1"/>
        <v>36003.458112</v>
      </c>
      <c r="AA6" s="221"/>
      <c r="AB6" s="221">
        <f t="shared" si="1"/>
        <v>45761.338272000001</v>
      </c>
      <c r="AC6" s="221">
        <f>SUM(AC7:AC18)</f>
        <v>4536.3382719999954</v>
      </c>
      <c r="AD6" s="219" t="e">
        <f t="shared" ref="AD6:AF6" si="2">SUM(AD7:AD18)</f>
        <v>#REF!</v>
      </c>
      <c r="AE6" s="322" t="e">
        <f t="shared" si="2"/>
        <v>#REF!</v>
      </c>
      <c r="AF6" s="323" t="e">
        <f t="shared" si="2"/>
        <v>#REF!</v>
      </c>
      <c r="AG6" s="324">
        <f>U6/C6*100</f>
        <v>37.975002236506967</v>
      </c>
      <c r="AH6" s="317"/>
      <c r="AI6" s="317"/>
    </row>
    <row r="7" spans="1:35" ht="31.5" x14ac:dyDescent="0.25">
      <c r="A7" s="187">
        <v>1</v>
      </c>
      <c r="B7" s="210" t="s">
        <v>154</v>
      </c>
      <c r="C7" s="220">
        <v>6300</v>
      </c>
      <c r="D7" s="222">
        <v>883</v>
      </c>
      <c r="E7" s="222">
        <v>67</v>
      </c>
      <c r="F7" s="222">
        <f t="shared" ref="F7:F12" si="3">D7-E7</f>
        <v>816</v>
      </c>
      <c r="G7" s="240"/>
      <c r="H7" s="193">
        <f t="shared" ref="H7:H16" si="4">$C$41</f>
        <v>909.3</v>
      </c>
      <c r="I7" s="193">
        <f t="shared" ref="I7:I16" si="5">$C$40</f>
        <v>606.19999999999993</v>
      </c>
      <c r="J7" s="193"/>
      <c r="K7" s="193">
        <f t="shared" ref="K7:K16" si="6">$D$41</f>
        <v>945.67200000000003</v>
      </c>
      <c r="L7" s="193">
        <f t="shared" ref="L7:L12" si="7">$D$40</f>
        <v>630.44799999999998</v>
      </c>
      <c r="M7" s="193"/>
      <c r="N7" s="220">
        <f>(E7*H7*8)/1000</f>
        <v>487.38479999999998</v>
      </c>
      <c r="O7" s="220">
        <f>SUM(F7*I7*8)/1000</f>
        <v>3957.2735999999995</v>
      </c>
      <c r="P7" s="220"/>
      <c r="Q7" s="311">
        <f>O7+N7+P7</f>
        <v>4444.6583999999993</v>
      </c>
      <c r="R7" s="220">
        <f>SUM(E7*K7*4)/1000</f>
        <v>253.44009600000001</v>
      </c>
      <c r="S7" s="220">
        <f>SUM(F7*L7*4)/1000</f>
        <v>2057.7822719999999</v>
      </c>
      <c r="T7" s="220"/>
      <c r="U7" s="221">
        <f>S7+R7+T7</f>
        <v>2311.2223679999997</v>
      </c>
      <c r="V7" s="221"/>
      <c r="W7" s="221"/>
      <c r="X7" s="221"/>
      <c r="Y7" s="220">
        <f>R7+N7</f>
        <v>740.82489599999997</v>
      </c>
      <c r="Z7" s="220">
        <f>S7+O7</f>
        <v>6015.055871999999</v>
      </c>
      <c r="AA7" s="220"/>
      <c r="AB7" s="221">
        <f>Z7+Y7+AA7+X7</f>
        <v>6755.8807679999991</v>
      </c>
      <c r="AC7" s="220">
        <f>SUM(AB7-C7)</f>
        <v>455.88076799999908</v>
      </c>
      <c r="AD7" s="219" t="e">
        <f t="shared" ref="AD7:AD18" si="8">SUM(AE7:AF7)</f>
        <v>#REF!</v>
      </c>
      <c r="AE7" s="218" t="e">
        <f>SUM(E7*#REF!*12)/1000</f>
        <v>#REF!</v>
      </c>
      <c r="AF7" s="217" t="e">
        <f>SUM(F7*#REF!*12)/1000</f>
        <v>#REF!</v>
      </c>
      <c r="AG7" s="244">
        <f t="shared" ref="AG7:AG25" si="9">U7/C7*100</f>
        <v>36.686069333333329</v>
      </c>
    </row>
    <row r="8" spans="1:35" ht="47.25" x14ac:dyDescent="0.25">
      <c r="A8" s="187">
        <v>2</v>
      </c>
      <c r="B8" s="210" t="s">
        <v>153</v>
      </c>
      <c r="C8" s="220">
        <v>5729</v>
      </c>
      <c r="D8" s="222">
        <v>777</v>
      </c>
      <c r="E8" s="222">
        <v>76</v>
      </c>
      <c r="F8" s="222">
        <f t="shared" si="3"/>
        <v>701</v>
      </c>
      <c r="G8" s="240"/>
      <c r="H8" s="193">
        <f t="shared" si="4"/>
        <v>909.3</v>
      </c>
      <c r="I8" s="193">
        <f t="shared" si="5"/>
        <v>606.19999999999993</v>
      </c>
      <c r="J8" s="193"/>
      <c r="K8" s="193">
        <f t="shared" si="6"/>
        <v>945.67200000000003</v>
      </c>
      <c r="L8" s="193">
        <f t="shared" si="7"/>
        <v>630.44799999999998</v>
      </c>
      <c r="M8" s="193"/>
      <c r="N8" s="220">
        <f t="shared" ref="N8:N17" si="10">(E8*H8*8)/1000</f>
        <v>552.85440000000006</v>
      </c>
      <c r="O8" s="220">
        <f t="shared" ref="O8:O17" si="11">SUM(F8*I8*8)/1000</f>
        <v>3399.5695999999998</v>
      </c>
      <c r="P8" s="220"/>
      <c r="Q8" s="311">
        <f t="shared" ref="Q8:Q28" si="12">O8+N8+P8</f>
        <v>3952.424</v>
      </c>
      <c r="R8" s="220">
        <f t="shared" ref="R8:R18" si="13">SUM(E8*K8*4)/1000</f>
        <v>287.48428799999999</v>
      </c>
      <c r="S8" s="220">
        <f t="shared" ref="S8:S18" si="14">SUM(F8*L8*4)/1000</f>
        <v>1767.776192</v>
      </c>
      <c r="T8" s="220"/>
      <c r="U8" s="221">
        <f t="shared" ref="U8:U18" si="15">S8+R8+T8</f>
        <v>2055.2604799999999</v>
      </c>
      <c r="V8" s="221"/>
      <c r="W8" s="221"/>
      <c r="X8" s="221"/>
      <c r="Y8" s="220">
        <f t="shared" ref="Y8:Y18" si="16">R8+N8</f>
        <v>840.33868800000005</v>
      </c>
      <c r="Z8" s="220">
        <f t="shared" ref="Z8:Z18" si="17">S8+O8</f>
        <v>5167.3457920000001</v>
      </c>
      <c r="AA8" s="220"/>
      <c r="AB8" s="221">
        <f t="shared" ref="AB8:AB27" si="18">Z8+Y8+AA8+X8</f>
        <v>6007.6844799999999</v>
      </c>
      <c r="AC8" s="220">
        <f t="shared" ref="AC8:AC29" si="19">SUM(AB8-C8)</f>
        <v>278.68447999999989</v>
      </c>
      <c r="AD8" s="219" t="e">
        <f t="shared" si="8"/>
        <v>#REF!</v>
      </c>
      <c r="AE8" s="218" t="e">
        <f>SUM(E8*#REF!*12)/1000</f>
        <v>#REF!</v>
      </c>
      <c r="AF8" s="217" t="e">
        <f>SUM(F8*#REF!*12)/1000</f>
        <v>#REF!</v>
      </c>
      <c r="AG8" s="244">
        <f t="shared" si="9"/>
        <v>35.874681096177341</v>
      </c>
    </row>
    <row r="9" spans="1:35" ht="31.5" x14ac:dyDescent="0.25">
      <c r="A9" s="187">
        <v>3</v>
      </c>
      <c r="B9" s="210" t="s">
        <v>152</v>
      </c>
      <c r="C9" s="220">
        <v>5613</v>
      </c>
      <c r="D9" s="222">
        <v>710</v>
      </c>
      <c r="E9" s="222">
        <v>191</v>
      </c>
      <c r="F9" s="222">
        <f t="shared" si="3"/>
        <v>519</v>
      </c>
      <c r="G9" s="240"/>
      <c r="H9" s="193">
        <f t="shared" si="4"/>
        <v>909.3</v>
      </c>
      <c r="I9" s="193">
        <f t="shared" si="5"/>
        <v>606.19999999999993</v>
      </c>
      <c r="J9" s="193"/>
      <c r="K9" s="193">
        <f t="shared" si="6"/>
        <v>945.67200000000003</v>
      </c>
      <c r="L9" s="193">
        <f t="shared" si="7"/>
        <v>630.44799999999998</v>
      </c>
      <c r="M9" s="193"/>
      <c r="N9" s="220">
        <f t="shared" si="10"/>
        <v>1389.4104</v>
      </c>
      <c r="O9" s="220">
        <f t="shared" si="11"/>
        <v>2516.9423999999999</v>
      </c>
      <c r="P9" s="220"/>
      <c r="Q9" s="311">
        <f t="shared" si="12"/>
        <v>3906.3527999999997</v>
      </c>
      <c r="R9" s="220">
        <f t="shared" si="13"/>
        <v>722.49340800000004</v>
      </c>
      <c r="S9" s="220">
        <f t="shared" si="14"/>
        <v>1308.8100480000001</v>
      </c>
      <c r="T9" s="220"/>
      <c r="U9" s="221">
        <f t="shared" si="15"/>
        <v>2031.3034560000001</v>
      </c>
      <c r="V9" s="221"/>
      <c r="W9" s="221"/>
      <c r="X9" s="221"/>
      <c r="Y9" s="220">
        <f t="shared" si="16"/>
        <v>2111.903808</v>
      </c>
      <c r="Z9" s="220">
        <f t="shared" si="17"/>
        <v>3825.7524480000002</v>
      </c>
      <c r="AA9" s="220"/>
      <c r="AB9" s="221">
        <f t="shared" si="18"/>
        <v>5937.6562560000002</v>
      </c>
      <c r="AC9" s="220">
        <f t="shared" si="19"/>
        <v>324.65625600000021</v>
      </c>
      <c r="AD9" s="219" t="e">
        <f t="shared" si="8"/>
        <v>#REF!</v>
      </c>
      <c r="AE9" s="218" t="e">
        <f>SUM(E9*#REF!*12)/1000</f>
        <v>#REF!</v>
      </c>
      <c r="AF9" s="217" t="e">
        <f>SUM(F9*#REF!*12)/1000</f>
        <v>#REF!</v>
      </c>
      <c r="AG9" s="244">
        <f t="shared" si="9"/>
        <v>36.189265205772315</v>
      </c>
    </row>
    <row r="10" spans="1:35" ht="47.25" x14ac:dyDescent="0.25">
      <c r="A10" s="187">
        <v>4</v>
      </c>
      <c r="B10" s="210" t="s">
        <v>151</v>
      </c>
      <c r="C10" s="220">
        <v>1911</v>
      </c>
      <c r="D10" s="222">
        <v>282</v>
      </c>
      <c r="E10" s="222">
        <v>56</v>
      </c>
      <c r="F10" s="222">
        <f t="shared" si="3"/>
        <v>226</v>
      </c>
      <c r="G10" s="240"/>
      <c r="H10" s="193">
        <f t="shared" si="4"/>
        <v>909.3</v>
      </c>
      <c r="I10" s="193">
        <f t="shared" si="5"/>
        <v>606.19999999999993</v>
      </c>
      <c r="J10" s="193"/>
      <c r="K10" s="193">
        <f t="shared" si="6"/>
        <v>945.67200000000003</v>
      </c>
      <c r="L10" s="193">
        <f t="shared" si="7"/>
        <v>630.44799999999998</v>
      </c>
      <c r="M10" s="193"/>
      <c r="N10" s="220">
        <f t="shared" si="10"/>
        <v>407.36639999999994</v>
      </c>
      <c r="O10" s="220">
        <f t="shared" si="11"/>
        <v>1096.0095999999999</v>
      </c>
      <c r="P10" s="220"/>
      <c r="Q10" s="311">
        <f t="shared" si="12"/>
        <v>1503.3759999999997</v>
      </c>
      <c r="R10" s="220">
        <f t="shared" si="13"/>
        <v>211.83052799999999</v>
      </c>
      <c r="S10" s="220">
        <f t="shared" si="14"/>
        <v>569.92499199999997</v>
      </c>
      <c r="T10" s="220"/>
      <c r="U10" s="221">
        <f t="shared" si="15"/>
        <v>781.75551999999993</v>
      </c>
      <c r="V10" s="221"/>
      <c r="W10" s="221"/>
      <c r="X10" s="221"/>
      <c r="Y10" s="220">
        <f t="shared" si="16"/>
        <v>619.19692799999996</v>
      </c>
      <c r="Z10" s="220">
        <f t="shared" si="17"/>
        <v>1665.9345919999998</v>
      </c>
      <c r="AA10" s="220"/>
      <c r="AB10" s="221">
        <f t="shared" si="18"/>
        <v>2285.1315199999999</v>
      </c>
      <c r="AC10" s="220">
        <f t="shared" si="19"/>
        <v>374.13151999999991</v>
      </c>
      <c r="AD10" s="219" t="e">
        <f t="shared" si="8"/>
        <v>#REF!</v>
      </c>
      <c r="AE10" s="218" t="e">
        <f>SUM(E10*#REF!*12)/1000</f>
        <v>#REF!</v>
      </c>
      <c r="AF10" s="217" t="e">
        <f>SUM(F10*#REF!*12)/1000</f>
        <v>#REF!</v>
      </c>
      <c r="AG10" s="244">
        <f t="shared" si="9"/>
        <v>40.90819047619047</v>
      </c>
    </row>
    <row r="11" spans="1:35" ht="31.5" x14ac:dyDescent="0.25">
      <c r="A11" s="187">
        <v>5</v>
      </c>
      <c r="B11" s="210" t="s">
        <v>150</v>
      </c>
      <c r="C11" s="220">
        <v>2688</v>
      </c>
      <c r="D11" s="222">
        <v>347</v>
      </c>
      <c r="E11" s="222">
        <v>73</v>
      </c>
      <c r="F11" s="222">
        <f t="shared" si="3"/>
        <v>274</v>
      </c>
      <c r="G11" s="240"/>
      <c r="H11" s="193">
        <f t="shared" si="4"/>
        <v>909.3</v>
      </c>
      <c r="I11" s="193">
        <f t="shared" si="5"/>
        <v>606.19999999999993</v>
      </c>
      <c r="J11" s="193"/>
      <c r="K11" s="193">
        <f t="shared" si="6"/>
        <v>945.67200000000003</v>
      </c>
      <c r="L11" s="193">
        <f t="shared" si="7"/>
        <v>630.44799999999998</v>
      </c>
      <c r="M11" s="193"/>
      <c r="N11" s="220">
        <f t="shared" si="10"/>
        <v>531.0311999999999</v>
      </c>
      <c r="O11" s="220">
        <f t="shared" si="11"/>
        <v>1328.7903999999999</v>
      </c>
      <c r="P11" s="220"/>
      <c r="Q11" s="311">
        <f t="shared" si="12"/>
        <v>1859.8215999999998</v>
      </c>
      <c r="R11" s="220">
        <f t="shared" si="13"/>
        <v>276.13622399999997</v>
      </c>
      <c r="S11" s="220">
        <f t="shared" si="14"/>
        <v>690.97100799999998</v>
      </c>
      <c r="T11" s="220"/>
      <c r="U11" s="221">
        <f t="shared" si="15"/>
        <v>967.10723199999995</v>
      </c>
      <c r="V11" s="221"/>
      <c r="W11" s="221"/>
      <c r="X11" s="221"/>
      <c r="Y11" s="220">
        <f t="shared" si="16"/>
        <v>807.16742399999987</v>
      </c>
      <c r="Z11" s="220">
        <f t="shared" si="17"/>
        <v>2019.7614079999998</v>
      </c>
      <c r="AA11" s="220"/>
      <c r="AB11" s="221">
        <f t="shared" si="18"/>
        <v>2826.9288319999996</v>
      </c>
      <c r="AC11" s="220">
        <f t="shared" si="19"/>
        <v>138.9288319999996</v>
      </c>
      <c r="AD11" s="219" t="e">
        <f t="shared" si="8"/>
        <v>#REF!</v>
      </c>
      <c r="AE11" s="218" t="e">
        <f>SUM(E11*#REF!*12)/1000</f>
        <v>#REF!</v>
      </c>
      <c r="AF11" s="217" t="e">
        <f>SUM(F11*#REF!*12)/1000</f>
        <v>#REF!</v>
      </c>
      <c r="AG11" s="244">
        <f t="shared" si="9"/>
        <v>35.978691666666663</v>
      </c>
    </row>
    <row r="12" spans="1:35" ht="47.25" x14ac:dyDescent="0.25">
      <c r="A12" s="187">
        <v>6</v>
      </c>
      <c r="B12" s="210" t="s">
        <v>149</v>
      </c>
      <c r="C12" s="220">
        <v>3650</v>
      </c>
      <c r="D12" s="222">
        <v>489</v>
      </c>
      <c r="E12" s="222">
        <v>89</v>
      </c>
      <c r="F12" s="222">
        <f t="shared" si="3"/>
        <v>400</v>
      </c>
      <c r="G12" s="240"/>
      <c r="H12" s="193">
        <f t="shared" si="4"/>
        <v>909.3</v>
      </c>
      <c r="I12" s="193">
        <f t="shared" si="5"/>
        <v>606.19999999999993</v>
      </c>
      <c r="J12" s="193"/>
      <c r="K12" s="193">
        <f t="shared" si="6"/>
        <v>945.67200000000003</v>
      </c>
      <c r="L12" s="193">
        <f t="shared" si="7"/>
        <v>630.44799999999998</v>
      </c>
      <c r="M12" s="193"/>
      <c r="N12" s="220">
        <f t="shared" si="10"/>
        <v>647.42160000000001</v>
      </c>
      <c r="O12" s="220">
        <f t="shared" si="11"/>
        <v>1939.8399999999997</v>
      </c>
      <c r="P12" s="220"/>
      <c r="Q12" s="311">
        <f t="shared" si="12"/>
        <v>2587.2615999999998</v>
      </c>
      <c r="R12" s="220">
        <f t="shared" si="13"/>
        <v>336.65923200000003</v>
      </c>
      <c r="S12" s="220">
        <f t="shared" si="14"/>
        <v>1008.7167999999999</v>
      </c>
      <c r="T12" s="220"/>
      <c r="U12" s="221">
        <f t="shared" si="15"/>
        <v>1345.3760319999999</v>
      </c>
      <c r="V12" s="221"/>
      <c r="W12" s="221"/>
      <c r="X12" s="221"/>
      <c r="Y12" s="220">
        <f t="shared" si="16"/>
        <v>984.0808320000001</v>
      </c>
      <c r="Z12" s="220">
        <f t="shared" si="17"/>
        <v>2948.5567999999994</v>
      </c>
      <c r="AA12" s="220"/>
      <c r="AB12" s="221">
        <f t="shared" si="18"/>
        <v>3932.6376319999995</v>
      </c>
      <c r="AC12" s="220">
        <f t="shared" si="19"/>
        <v>282.63763199999948</v>
      </c>
      <c r="AD12" s="219" t="e">
        <f t="shared" si="8"/>
        <v>#REF!</v>
      </c>
      <c r="AE12" s="218" t="e">
        <f>SUM(E12*#REF!*12)/1000</f>
        <v>#REF!</v>
      </c>
      <c r="AF12" s="217" t="e">
        <f>SUM(F12*#REF!*12)/1000</f>
        <v>#REF!</v>
      </c>
      <c r="AG12" s="244">
        <f t="shared" si="9"/>
        <v>36.85961731506849</v>
      </c>
    </row>
    <row r="13" spans="1:35" ht="47.25" hidden="1" x14ac:dyDescent="0.25">
      <c r="A13" s="187" t="s">
        <v>148</v>
      </c>
      <c r="B13" s="210" t="s">
        <v>147</v>
      </c>
      <c r="C13" s="220"/>
      <c r="D13" s="222"/>
      <c r="E13" s="222"/>
      <c r="F13" s="222"/>
      <c r="G13" s="240"/>
      <c r="H13" s="193">
        <f t="shared" si="4"/>
        <v>909.3</v>
      </c>
      <c r="I13" s="193">
        <f t="shared" si="5"/>
        <v>606.19999999999993</v>
      </c>
      <c r="J13" s="193"/>
      <c r="K13" s="193">
        <f t="shared" si="6"/>
        <v>945.67200000000003</v>
      </c>
      <c r="L13" s="193">
        <v>606</v>
      </c>
      <c r="M13" s="193"/>
      <c r="N13" s="220">
        <f t="shared" si="10"/>
        <v>0</v>
      </c>
      <c r="O13" s="220">
        <f t="shared" si="11"/>
        <v>0</v>
      </c>
      <c r="P13" s="220"/>
      <c r="Q13" s="311">
        <f t="shared" si="12"/>
        <v>0</v>
      </c>
      <c r="R13" s="220">
        <f t="shared" si="13"/>
        <v>0</v>
      </c>
      <c r="S13" s="220">
        <f t="shared" si="14"/>
        <v>0</v>
      </c>
      <c r="T13" s="220"/>
      <c r="U13" s="221">
        <f t="shared" si="15"/>
        <v>0</v>
      </c>
      <c r="V13" s="221"/>
      <c r="W13" s="221"/>
      <c r="X13" s="221"/>
      <c r="Y13" s="220">
        <f t="shared" si="16"/>
        <v>0</v>
      </c>
      <c r="Z13" s="220">
        <f t="shared" si="17"/>
        <v>0</v>
      </c>
      <c r="AA13" s="220"/>
      <c r="AB13" s="221">
        <f t="shared" si="18"/>
        <v>0</v>
      </c>
      <c r="AC13" s="220">
        <f t="shared" si="19"/>
        <v>0</v>
      </c>
      <c r="AD13" s="219" t="e">
        <f t="shared" si="8"/>
        <v>#REF!</v>
      </c>
      <c r="AE13" s="218" t="e">
        <f>SUM(E13*#REF!*12)/1000</f>
        <v>#REF!</v>
      </c>
      <c r="AF13" s="217" t="e">
        <f>SUM(F13*#REF!*12)/1000</f>
        <v>#REF!</v>
      </c>
      <c r="AG13" s="244" t="e">
        <f t="shared" si="9"/>
        <v>#DIV/0!</v>
      </c>
    </row>
    <row r="14" spans="1:35" ht="47.25" x14ac:dyDescent="0.25">
      <c r="A14" s="187">
        <v>7</v>
      </c>
      <c r="B14" s="210" t="s">
        <v>146</v>
      </c>
      <c r="C14" s="220">
        <v>3420</v>
      </c>
      <c r="D14" s="222">
        <v>479</v>
      </c>
      <c r="E14" s="222">
        <v>84</v>
      </c>
      <c r="F14" s="222">
        <f>D14-E14</f>
        <v>395</v>
      </c>
      <c r="G14" s="240"/>
      <c r="H14" s="193">
        <f t="shared" si="4"/>
        <v>909.3</v>
      </c>
      <c r="I14" s="193">
        <f t="shared" si="5"/>
        <v>606.19999999999993</v>
      </c>
      <c r="J14" s="193"/>
      <c r="K14" s="193">
        <f t="shared" si="6"/>
        <v>945.67200000000003</v>
      </c>
      <c r="L14" s="193">
        <f>$D$40</f>
        <v>630.44799999999998</v>
      </c>
      <c r="M14" s="193"/>
      <c r="N14" s="220">
        <f t="shared" si="10"/>
        <v>611.04959999999994</v>
      </c>
      <c r="O14" s="220">
        <f t="shared" si="11"/>
        <v>1915.5919999999999</v>
      </c>
      <c r="P14" s="220"/>
      <c r="Q14" s="311">
        <f t="shared" si="12"/>
        <v>2526.6415999999999</v>
      </c>
      <c r="R14" s="220">
        <f t="shared" si="13"/>
        <v>317.74579199999999</v>
      </c>
      <c r="S14" s="220">
        <f t="shared" si="14"/>
        <v>996.10784000000001</v>
      </c>
      <c r="T14" s="220"/>
      <c r="U14" s="221">
        <f t="shared" si="15"/>
        <v>1313.8536320000001</v>
      </c>
      <c r="V14" s="221"/>
      <c r="W14" s="221"/>
      <c r="X14" s="221"/>
      <c r="Y14" s="220">
        <f t="shared" si="16"/>
        <v>928.79539199999999</v>
      </c>
      <c r="Z14" s="220">
        <f t="shared" si="17"/>
        <v>2911.6998399999998</v>
      </c>
      <c r="AA14" s="220"/>
      <c r="AB14" s="221">
        <f t="shared" si="18"/>
        <v>3840.4952319999998</v>
      </c>
      <c r="AC14" s="220">
        <f t="shared" si="19"/>
        <v>420.49523199999976</v>
      </c>
      <c r="AD14" s="219" t="e">
        <f t="shared" si="8"/>
        <v>#REF!</v>
      </c>
      <c r="AE14" s="218" t="e">
        <f>SUM(E14*#REF!*12)/1000</f>
        <v>#REF!</v>
      </c>
      <c r="AF14" s="217" t="e">
        <f>SUM(F14*#REF!*12)/1000</f>
        <v>#REF!</v>
      </c>
      <c r="AG14" s="244">
        <f t="shared" si="9"/>
        <v>38.41677286549708</v>
      </c>
    </row>
    <row r="15" spans="1:35" ht="47.25" x14ac:dyDescent="0.25">
      <c r="A15" s="187">
        <v>8</v>
      </c>
      <c r="B15" s="210" t="s">
        <v>145</v>
      </c>
      <c r="C15" s="220">
        <v>2176</v>
      </c>
      <c r="D15" s="222">
        <v>291</v>
      </c>
      <c r="E15" s="222">
        <v>67</v>
      </c>
      <c r="F15" s="222">
        <f>D15-E15</f>
        <v>224</v>
      </c>
      <c r="G15" s="240"/>
      <c r="H15" s="193">
        <f t="shared" si="4"/>
        <v>909.3</v>
      </c>
      <c r="I15" s="193">
        <f t="shared" si="5"/>
        <v>606.19999999999993</v>
      </c>
      <c r="J15" s="193"/>
      <c r="K15" s="193">
        <f t="shared" si="6"/>
        <v>945.67200000000003</v>
      </c>
      <c r="L15" s="193">
        <f>$D$40</f>
        <v>630.44799999999998</v>
      </c>
      <c r="M15" s="193"/>
      <c r="N15" s="220">
        <f t="shared" si="10"/>
        <v>487.38479999999998</v>
      </c>
      <c r="O15" s="220">
        <f t="shared" si="11"/>
        <v>1086.3103999999998</v>
      </c>
      <c r="P15" s="220"/>
      <c r="Q15" s="311">
        <f t="shared" si="12"/>
        <v>1573.6951999999999</v>
      </c>
      <c r="R15" s="220">
        <f t="shared" si="13"/>
        <v>253.44009600000001</v>
      </c>
      <c r="S15" s="220">
        <f t="shared" si="14"/>
        <v>564.88140799999996</v>
      </c>
      <c r="T15" s="220"/>
      <c r="U15" s="221">
        <f t="shared" si="15"/>
        <v>818.321504</v>
      </c>
      <c r="V15" s="221"/>
      <c r="W15" s="221"/>
      <c r="X15" s="221"/>
      <c r="Y15" s="220">
        <f t="shared" si="16"/>
        <v>740.82489599999997</v>
      </c>
      <c r="Z15" s="220">
        <f t="shared" si="17"/>
        <v>1651.1918079999998</v>
      </c>
      <c r="AA15" s="220"/>
      <c r="AB15" s="221">
        <f t="shared" si="18"/>
        <v>2392.0167039999997</v>
      </c>
      <c r="AC15" s="220">
        <f t="shared" si="19"/>
        <v>216.01670399999966</v>
      </c>
      <c r="AD15" s="219" t="e">
        <f t="shared" si="8"/>
        <v>#REF!</v>
      </c>
      <c r="AE15" s="218" t="e">
        <f>SUM(E15*#REF!*12)/1000</f>
        <v>#REF!</v>
      </c>
      <c r="AF15" s="217" t="e">
        <f>SUM(F15*#REF!*12)/1000</f>
        <v>#REF!</v>
      </c>
      <c r="AG15" s="244">
        <f t="shared" si="9"/>
        <v>37.606686764705884</v>
      </c>
    </row>
    <row r="16" spans="1:35" ht="31.5" x14ac:dyDescent="0.25">
      <c r="A16" s="187">
        <v>9</v>
      </c>
      <c r="B16" s="210" t="s">
        <v>144</v>
      </c>
      <c r="C16" s="220">
        <v>7358</v>
      </c>
      <c r="D16" s="222">
        <v>1081</v>
      </c>
      <c r="E16" s="222">
        <v>141</v>
      </c>
      <c r="F16" s="222">
        <f>D16-E16</f>
        <v>940</v>
      </c>
      <c r="G16" s="240"/>
      <c r="H16" s="193">
        <f t="shared" si="4"/>
        <v>909.3</v>
      </c>
      <c r="I16" s="193">
        <f t="shared" si="5"/>
        <v>606.19999999999993</v>
      </c>
      <c r="J16" s="193"/>
      <c r="K16" s="193">
        <f t="shared" si="6"/>
        <v>945.67200000000003</v>
      </c>
      <c r="L16" s="193">
        <f>$D$40</f>
        <v>630.44799999999998</v>
      </c>
      <c r="M16" s="193"/>
      <c r="N16" s="220">
        <f t="shared" si="10"/>
        <v>1025.6904</v>
      </c>
      <c r="O16" s="220">
        <f t="shared" si="11"/>
        <v>4558.6239999999989</v>
      </c>
      <c r="P16" s="220"/>
      <c r="Q16" s="311">
        <f t="shared" si="12"/>
        <v>5584.3143999999993</v>
      </c>
      <c r="R16" s="220">
        <f t="shared" si="13"/>
        <v>533.35900800000002</v>
      </c>
      <c r="S16" s="220">
        <f t="shared" si="14"/>
        <v>2370.4844800000001</v>
      </c>
      <c r="T16" s="220"/>
      <c r="U16" s="221">
        <f t="shared" si="15"/>
        <v>2903.843488</v>
      </c>
      <c r="V16" s="221"/>
      <c r="W16" s="221"/>
      <c r="X16" s="221"/>
      <c r="Y16" s="220">
        <f t="shared" si="16"/>
        <v>1559.0494079999999</v>
      </c>
      <c r="Z16" s="220">
        <f t="shared" si="17"/>
        <v>6929.108479999999</v>
      </c>
      <c r="AA16" s="220"/>
      <c r="AB16" s="221">
        <f t="shared" si="18"/>
        <v>8488.1578879999979</v>
      </c>
      <c r="AC16" s="220">
        <f t="shared" si="19"/>
        <v>1130.1578879999979</v>
      </c>
      <c r="AD16" s="219" t="e">
        <f t="shared" si="8"/>
        <v>#REF!</v>
      </c>
      <c r="AE16" s="218" t="e">
        <f>SUM(E16*#REF!*12)/1000</f>
        <v>#REF!</v>
      </c>
      <c r="AF16" s="217" t="e">
        <f>SUM(F16*#REF!*12)/1000</f>
        <v>#REF!</v>
      </c>
      <c r="AG16" s="244">
        <f t="shared" si="9"/>
        <v>39.465119434628974</v>
      </c>
    </row>
    <row r="17" spans="1:35" x14ac:dyDescent="0.25">
      <c r="A17" s="187">
        <v>10</v>
      </c>
      <c r="B17" s="210" t="s">
        <v>143</v>
      </c>
      <c r="C17" s="220">
        <v>1292</v>
      </c>
      <c r="D17" s="222">
        <v>220</v>
      </c>
      <c r="E17" s="222">
        <v>21</v>
      </c>
      <c r="F17" s="222">
        <f>D17-E17</f>
        <v>199</v>
      </c>
      <c r="G17" s="240"/>
      <c r="H17" s="193">
        <f>C43</f>
        <v>974.25</v>
      </c>
      <c r="I17" s="193">
        <f>C42</f>
        <v>649.5</v>
      </c>
      <c r="J17" s="193"/>
      <c r="K17" s="193">
        <f>D43</f>
        <v>1013.22</v>
      </c>
      <c r="L17" s="193">
        <f>D42</f>
        <v>675.48</v>
      </c>
      <c r="M17" s="193"/>
      <c r="N17" s="220">
        <f t="shared" si="10"/>
        <v>163.67400000000001</v>
      </c>
      <c r="O17" s="220">
        <f t="shared" si="11"/>
        <v>1034.0039999999999</v>
      </c>
      <c r="P17" s="220"/>
      <c r="Q17" s="311">
        <f t="shared" si="12"/>
        <v>1197.6779999999999</v>
      </c>
      <c r="R17" s="220">
        <f t="shared" si="13"/>
        <v>85.110479999999995</v>
      </c>
      <c r="S17" s="220">
        <f t="shared" si="14"/>
        <v>537.68207999999993</v>
      </c>
      <c r="T17" s="220"/>
      <c r="U17" s="221">
        <f t="shared" si="15"/>
        <v>622.79255999999987</v>
      </c>
      <c r="V17" s="221"/>
      <c r="W17" s="221"/>
      <c r="X17" s="221"/>
      <c r="Y17" s="220">
        <f t="shared" si="16"/>
        <v>248.78448</v>
      </c>
      <c r="Z17" s="220">
        <f t="shared" si="17"/>
        <v>1571.6860799999999</v>
      </c>
      <c r="AA17" s="220"/>
      <c r="AB17" s="221">
        <f t="shared" si="18"/>
        <v>1820.47056</v>
      </c>
      <c r="AC17" s="220">
        <f t="shared" si="19"/>
        <v>528.47055999999998</v>
      </c>
      <c r="AD17" s="219" t="e">
        <f t="shared" si="8"/>
        <v>#REF!</v>
      </c>
      <c r="AE17" s="218" t="e">
        <f>SUM(E17*#REF!*12)/1000</f>
        <v>#REF!</v>
      </c>
      <c r="AF17" s="217" t="e">
        <f>SUM(F17*#REF!*12)/1000</f>
        <v>#REF!</v>
      </c>
      <c r="AG17" s="244">
        <f t="shared" si="9"/>
        <v>48.203758513931874</v>
      </c>
    </row>
    <row r="18" spans="1:35" x14ac:dyDescent="0.25">
      <c r="A18" s="187">
        <v>11</v>
      </c>
      <c r="B18" s="210" t="s">
        <v>142</v>
      </c>
      <c r="C18" s="220">
        <v>1088</v>
      </c>
      <c r="D18" s="222">
        <v>192</v>
      </c>
      <c r="E18" s="222">
        <v>16</v>
      </c>
      <c r="F18" s="222">
        <f>D18-E18</f>
        <v>176</v>
      </c>
      <c r="G18" s="240"/>
      <c r="H18" s="193">
        <f t="shared" ref="H18:H28" si="20">$C$41</f>
        <v>909.3</v>
      </c>
      <c r="I18" s="193">
        <f t="shared" ref="I18:I28" si="21">$C$40</f>
        <v>606.19999999999993</v>
      </c>
      <c r="J18" s="193"/>
      <c r="K18" s="193">
        <f t="shared" ref="K18:K28" si="22">$D$41</f>
        <v>945.67200000000003</v>
      </c>
      <c r="L18" s="193">
        <f t="shared" ref="L18:L28" si="23">$D$40</f>
        <v>630.44799999999998</v>
      </c>
      <c r="M18" s="193"/>
      <c r="N18" s="220">
        <f>(E18*H18*8)/1000</f>
        <v>116.3904</v>
      </c>
      <c r="O18" s="220">
        <f t="shared" ref="O18" si="24">SUM(F18*I18*8)/1000</f>
        <v>853.52959999999985</v>
      </c>
      <c r="P18" s="220"/>
      <c r="Q18" s="311">
        <f t="shared" si="12"/>
        <v>969.91999999999985</v>
      </c>
      <c r="R18" s="220">
        <f t="shared" si="13"/>
        <v>60.523008000000004</v>
      </c>
      <c r="S18" s="220">
        <f t="shared" si="14"/>
        <v>443.83539200000001</v>
      </c>
      <c r="T18" s="220"/>
      <c r="U18" s="221">
        <f t="shared" si="15"/>
        <v>504.35840000000002</v>
      </c>
      <c r="V18" s="221"/>
      <c r="W18" s="221"/>
      <c r="X18" s="221"/>
      <c r="Y18" s="220">
        <f t="shared" si="16"/>
        <v>176.913408</v>
      </c>
      <c r="Z18" s="220">
        <f t="shared" si="17"/>
        <v>1297.3649919999998</v>
      </c>
      <c r="AA18" s="220"/>
      <c r="AB18" s="221">
        <f t="shared" si="18"/>
        <v>1474.2783999999997</v>
      </c>
      <c r="AC18" s="220">
        <f t="shared" si="19"/>
        <v>386.27839999999969</v>
      </c>
      <c r="AD18" s="219" t="e">
        <f t="shared" si="8"/>
        <v>#REF!</v>
      </c>
      <c r="AE18" s="218" t="e">
        <f>SUM(E18*#REF!*12)/1000</f>
        <v>#REF!</v>
      </c>
      <c r="AF18" s="217" t="e">
        <f>SUM(F18*#REF!*12)/1000</f>
        <v>#REF!</v>
      </c>
      <c r="AG18" s="244">
        <f t="shared" si="9"/>
        <v>46.356470588235297</v>
      </c>
    </row>
    <row r="19" spans="1:35" s="199" customFormat="1" hidden="1" x14ac:dyDescent="0.25">
      <c r="A19" s="204">
        <v>2</v>
      </c>
      <c r="B19" s="216" t="s">
        <v>141</v>
      </c>
      <c r="C19" s="215">
        <f>C20</f>
        <v>1175</v>
      </c>
      <c r="D19" s="214">
        <f>D20</f>
        <v>163</v>
      </c>
      <c r="E19" s="214">
        <f>E20</f>
        <v>15</v>
      </c>
      <c r="F19" s="214">
        <f>F20</f>
        <v>148</v>
      </c>
      <c r="G19" s="214"/>
      <c r="H19" s="193">
        <f t="shared" si="20"/>
        <v>909.3</v>
      </c>
      <c r="I19" s="193">
        <f t="shared" si="21"/>
        <v>606.19999999999993</v>
      </c>
      <c r="J19" s="214"/>
      <c r="K19" s="193">
        <f t="shared" si="22"/>
        <v>945.67200000000003</v>
      </c>
      <c r="L19" s="193">
        <f t="shared" si="23"/>
        <v>630.44799999999998</v>
      </c>
      <c r="M19" s="205"/>
      <c r="N19" s="220">
        <f t="shared" ref="N19:N25" si="25">(E19*H19*8)/1000</f>
        <v>109.116</v>
      </c>
      <c r="O19" s="220">
        <f t="shared" ref="O19:O25" si="26">SUM(F19*I19*8)/1000</f>
        <v>717.74079999999992</v>
      </c>
      <c r="P19" s="220"/>
      <c r="Q19" s="311">
        <f t="shared" si="12"/>
        <v>826.85679999999991</v>
      </c>
      <c r="R19" s="220">
        <f t="shared" ref="R19:R28" si="27">SUM(E19*K19*4)/1000</f>
        <v>56.740319999999997</v>
      </c>
      <c r="S19" s="220">
        <f t="shared" ref="S19:S25" si="28">SUM(F19*L19*4)/1000</f>
        <v>373.22521599999999</v>
      </c>
      <c r="T19" s="220"/>
      <c r="U19" s="221">
        <f t="shared" ref="U19:U28" si="29">S19+R19+T19</f>
        <v>429.96553599999999</v>
      </c>
      <c r="V19" s="205"/>
      <c r="W19" s="205"/>
      <c r="X19" s="205"/>
      <c r="Y19" s="220">
        <f t="shared" ref="Y19:Y27" si="30">R19+N19</f>
        <v>165.85631999999998</v>
      </c>
      <c r="Z19" s="220">
        <f t="shared" ref="Z19:Z27" si="31">S19+O19</f>
        <v>1090.9660159999999</v>
      </c>
      <c r="AA19" s="205"/>
      <c r="AB19" s="221">
        <f t="shared" si="18"/>
        <v>1256.8223359999997</v>
      </c>
      <c r="AC19" s="220">
        <f t="shared" si="19"/>
        <v>81.822335999999723</v>
      </c>
      <c r="AD19" s="213">
        <f>AD20</f>
        <v>0</v>
      </c>
      <c r="AE19" s="212">
        <f>AE20</f>
        <v>0</v>
      </c>
      <c r="AF19" s="212">
        <f>AF20</f>
        <v>0</v>
      </c>
      <c r="AG19" s="243">
        <f t="shared" si="9"/>
        <v>36.59281157446808</v>
      </c>
      <c r="AH19" s="200"/>
      <c r="AI19" s="200"/>
    </row>
    <row r="20" spans="1:35" hidden="1" x14ac:dyDescent="0.25">
      <c r="A20" s="187">
        <v>1</v>
      </c>
      <c r="B20" s="211" t="s">
        <v>140</v>
      </c>
      <c r="C20" s="194">
        <v>1175</v>
      </c>
      <c r="D20" s="194">
        <f>E20+F20</f>
        <v>163</v>
      </c>
      <c r="E20" s="187">
        <v>15</v>
      </c>
      <c r="F20" s="187">
        <v>148</v>
      </c>
      <c r="G20" s="239"/>
      <c r="H20" s="193">
        <f t="shared" si="20"/>
        <v>909.3</v>
      </c>
      <c r="I20" s="193">
        <f t="shared" si="21"/>
        <v>606.19999999999993</v>
      </c>
      <c r="J20" s="239"/>
      <c r="K20" s="193">
        <f t="shared" si="22"/>
        <v>945.67200000000003</v>
      </c>
      <c r="L20" s="193">
        <f t="shared" si="23"/>
        <v>630.44799999999998</v>
      </c>
      <c r="M20" s="196"/>
      <c r="N20" s="220">
        <f t="shared" si="25"/>
        <v>109.116</v>
      </c>
      <c r="O20" s="220">
        <f t="shared" si="26"/>
        <v>717.74079999999992</v>
      </c>
      <c r="P20" s="220"/>
      <c r="Q20" s="311">
        <f t="shared" si="12"/>
        <v>826.85679999999991</v>
      </c>
      <c r="R20" s="220">
        <f t="shared" si="27"/>
        <v>56.740319999999997</v>
      </c>
      <c r="S20" s="220">
        <f t="shared" si="28"/>
        <v>373.22521599999999</v>
      </c>
      <c r="T20" s="220"/>
      <c r="U20" s="221">
        <f t="shared" si="29"/>
        <v>429.96553599999999</v>
      </c>
      <c r="V20" s="195"/>
      <c r="W20" s="195"/>
      <c r="X20" s="195"/>
      <c r="Y20" s="220">
        <f t="shared" si="30"/>
        <v>165.85631999999998</v>
      </c>
      <c r="Z20" s="220">
        <f t="shared" si="31"/>
        <v>1090.9660159999999</v>
      </c>
      <c r="AA20" s="195"/>
      <c r="AB20" s="221">
        <f t="shared" si="18"/>
        <v>1256.8223359999997</v>
      </c>
      <c r="AC20" s="220">
        <f t="shared" si="19"/>
        <v>81.822335999999723</v>
      </c>
      <c r="AG20" s="243">
        <f t="shared" si="9"/>
        <v>36.59281157446808</v>
      </c>
    </row>
    <row r="21" spans="1:35" s="199" customFormat="1" hidden="1" x14ac:dyDescent="0.25">
      <c r="A21" s="204">
        <v>3</v>
      </c>
      <c r="B21" s="206" t="s">
        <v>139</v>
      </c>
      <c r="C21" s="204">
        <f>C22</f>
        <v>3255</v>
      </c>
      <c r="D21" s="204">
        <f>D22</f>
        <v>350</v>
      </c>
      <c r="E21" s="204">
        <f>E22</f>
        <v>200</v>
      </c>
      <c r="F21" s="204">
        <f>F22</f>
        <v>150</v>
      </c>
      <c r="G21" s="204"/>
      <c r="H21" s="193">
        <f t="shared" si="20"/>
        <v>909.3</v>
      </c>
      <c r="I21" s="193">
        <f t="shared" si="21"/>
        <v>606.19999999999993</v>
      </c>
      <c r="J21" s="204"/>
      <c r="K21" s="193">
        <f t="shared" si="22"/>
        <v>945.67200000000003</v>
      </c>
      <c r="L21" s="193">
        <f t="shared" si="23"/>
        <v>630.44799999999998</v>
      </c>
      <c r="M21" s="204"/>
      <c r="N21" s="220">
        <f t="shared" si="25"/>
        <v>1454.88</v>
      </c>
      <c r="O21" s="220">
        <f t="shared" si="26"/>
        <v>727.43999999999983</v>
      </c>
      <c r="P21" s="220"/>
      <c r="Q21" s="311">
        <f t="shared" si="12"/>
        <v>2182.3199999999997</v>
      </c>
      <c r="R21" s="220">
        <f t="shared" si="27"/>
        <v>756.5376</v>
      </c>
      <c r="S21" s="220">
        <f t="shared" si="28"/>
        <v>378.2688</v>
      </c>
      <c r="T21" s="220"/>
      <c r="U21" s="221">
        <f t="shared" si="29"/>
        <v>1134.8063999999999</v>
      </c>
      <c r="V21" s="203"/>
      <c r="W21" s="203"/>
      <c r="X21" s="203"/>
      <c r="Y21" s="220">
        <f t="shared" si="30"/>
        <v>2211.4176000000002</v>
      </c>
      <c r="Z21" s="220">
        <f t="shared" si="31"/>
        <v>1105.7087999999999</v>
      </c>
      <c r="AA21" s="203"/>
      <c r="AB21" s="221">
        <f t="shared" si="18"/>
        <v>3317.1264000000001</v>
      </c>
      <c r="AC21" s="220">
        <f t="shared" si="19"/>
        <v>62.126400000000103</v>
      </c>
      <c r="AD21" s="200"/>
      <c r="AE21" s="200"/>
      <c r="AF21" s="200"/>
      <c r="AG21" s="243">
        <f t="shared" si="9"/>
        <v>34.863483870967741</v>
      </c>
      <c r="AH21" s="200"/>
      <c r="AI21" s="200"/>
    </row>
    <row r="22" spans="1:35" s="207" customFormat="1" ht="31.5" hidden="1" x14ac:dyDescent="0.25">
      <c r="A22" s="189">
        <v>1</v>
      </c>
      <c r="B22" s="210" t="s">
        <v>138</v>
      </c>
      <c r="C22" s="189">
        <v>3255</v>
      </c>
      <c r="D22" s="189">
        <f>E22+F22</f>
        <v>350</v>
      </c>
      <c r="E22" s="189">
        <v>200</v>
      </c>
      <c r="F22" s="189">
        <v>150</v>
      </c>
      <c r="G22" s="189"/>
      <c r="H22" s="193">
        <f t="shared" si="20"/>
        <v>909.3</v>
      </c>
      <c r="I22" s="193">
        <f t="shared" si="21"/>
        <v>606.19999999999993</v>
      </c>
      <c r="J22" s="189"/>
      <c r="K22" s="193">
        <f t="shared" si="22"/>
        <v>945.67200000000003</v>
      </c>
      <c r="L22" s="193">
        <f t="shared" si="23"/>
        <v>630.44799999999998</v>
      </c>
      <c r="M22" s="196"/>
      <c r="N22" s="220">
        <f t="shared" si="25"/>
        <v>1454.88</v>
      </c>
      <c r="O22" s="220">
        <f t="shared" si="26"/>
        <v>727.43999999999983</v>
      </c>
      <c r="P22" s="220"/>
      <c r="Q22" s="311">
        <f t="shared" si="12"/>
        <v>2182.3199999999997</v>
      </c>
      <c r="R22" s="220">
        <f t="shared" si="27"/>
        <v>756.5376</v>
      </c>
      <c r="S22" s="220">
        <f t="shared" si="28"/>
        <v>378.2688</v>
      </c>
      <c r="T22" s="220"/>
      <c r="U22" s="221">
        <f t="shared" si="29"/>
        <v>1134.8063999999999</v>
      </c>
      <c r="V22" s="209"/>
      <c r="W22" s="209"/>
      <c r="X22" s="209"/>
      <c r="Y22" s="220">
        <f t="shared" si="30"/>
        <v>2211.4176000000002</v>
      </c>
      <c r="Z22" s="220">
        <f t="shared" si="31"/>
        <v>1105.7087999999999</v>
      </c>
      <c r="AA22" s="209"/>
      <c r="AB22" s="221">
        <f t="shared" si="18"/>
        <v>3317.1264000000001</v>
      </c>
      <c r="AC22" s="220">
        <f t="shared" si="19"/>
        <v>62.126400000000103</v>
      </c>
      <c r="AD22" s="208"/>
      <c r="AE22" s="208"/>
      <c r="AF22" s="208"/>
      <c r="AG22" s="243">
        <f t="shared" si="9"/>
        <v>34.863483870967741</v>
      </c>
      <c r="AH22" s="208"/>
      <c r="AI22" s="208"/>
    </row>
    <row r="23" spans="1:35" s="199" customFormat="1" hidden="1" x14ac:dyDescent="0.25">
      <c r="A23" s="204">
        <v>4</v>
      </c>
      <c r="B23" s="206" t="s">
        <v>137</v>
      </c>
      <c r="C23" s="204">
        <f>C24</f>
        <v>3652</v>
      </c>
      <c r="D23" s="204">
        <f>D24</f>
        <v>400</v>
      </c>
      <c r="E23" s="204">
        <f>E24</f>
        <v>200</v>
      </c>
      <c r="F23" s="204">
        <f>F24</f>
        <v>200</v>
      </c>
      <c r="G23" s="204"/>
      <c r="H23" s="193">
        <f t="shared" si="20"/>
        <v>909.3</v>
      </c>
      <c r="I23" s="193">
        <f t="shared" si="21"/>
        <v>606.19999999999993</v>
      </c>
      <c r="J23" s="204"/>
      <c r="K23" s="193">
        <f t="shared" si="22"/>
        <v>945.67200000000003</v>
      </c>
      <c r="L23" s="193">
        <f t="shared" si="23"/>
        <v>630.44799999999998</v>
      </c>
      <c r="M23" s="204"/>
      <c r="N23" s="220">
        <f t="shared" si="25"/>
        <v>1454.88</v>
      </c>
      <c r="O23" s="220">
        <f t="shared" si="26"/>
        <v>969.91999999999985</v>
      </c>
      <c r="P23" s="220"/>
      <c r="Q23" s="311">
        <f t="shared" si="12"/>
        <v>2424.8000000000002</v>
      </c>
      <c r="R23" s="220">
        <f t="shared" si="27"/>
        <v>756.5376</v>
      </c>
      <c r="S23" s="220">
        <f t="shared" si="28"/>
        <v>504.35839999999996</v>
      </c>
      <c r="T23" s="220"/>
      <c r="U23" s="221">
        <f t="shared" si="29"/>
        <v>1260.896</v>
      </c>
      <c r="V23" s="203"/>
      <c r="W23" s="203"/>
      <c r="X23" s="203"/>
      <c r="Y23" s="220">
        <f t="shared" si="30"/>
        <v>2211.4176000000002</v>
      </c>
      <c r="Z23" s="220">
        <f t="shared" si="31"/>
        <v>1474.2783999999997</v>
      </c>
      <c r="AA23" s="203"/>
      <c r="AB23" s="221">
        <f t="shared" si="18"/>
        <v>3685.6959999999999</v>
      </c>
      <c r="AC23" s="220">
        <f t="shared" si="19"/>
        <v>33.695999999999913</v>
      </c>
      <c r="AD23" s="202">
        <f>AD24</f>
        <v>0</v>
      </c>
      <c r="AE23" s="201">
        <f>AE24</f>
        <v>0</v>
      </c>
      <c r="AF23" s="201">
        <f>AF24</f>
        <v>0</v>
      </c>
      <c r="AG23" s="243">
        <f t="shared" si="9"/>
        <v>34.526177437020813</v>
      </c>
      <c r="AH23" s="200"/>
      <c r="AI23" s="200"/>
    </row>
    <row r="24" spans="1:35" hidden="1" x14ac:dyDescent="0.25">
      <c r="A24" s="187">
        <v>1</v>
      </c>
      <c r="B24" s="198" t="s">
        <v>136</v>
      </c>
      <c r="C24" s="197">
        <v>3652</v>
      </c>
      <c r="D24" s="187">
        <f>E24+F24</f>
        <v>400</v>
      </c>
      <c r="E24" s="187">
        <v>200</v>
      </c>
      <c r="F24" s="187">
        <v>200</v>
      </c>
      <c r="G24" s="239"/>
      <c r="H24" s="193">
        <f t="shared" si="20"/>
        <v>909.3</v>
      </c>
      <c r="I24" s="193">
        <f t="shared" si="21"/>
        <v>606.19999999999993</v>
      </c>
      <c r="J24" s="239"/>
      <c r="K24" s="193">
        <f t="shared" si="22"/>
        <v>945.67200000000003</v>
      </c>
      <c r="L24" s="193">
        <f t="shared" si="23"/>
        <v>630.44799999999998</v>
      </c>
      <c r="M24" s="196"/>
      <c r="N24" s="220">
        <f t="shared" si="25"/>
        <v>1454.88</v>
      </c>
      <c r="O24" s="220">
        <f t="shared" si="26"/>
        <v>969.91999999999985</v>
      </c>
      <c r="P24" s="220"/>
      <c r="Q24" s="311">
        <f t="shared" si="12"/>
        <v>2424.8000000000002</v>
      </c>
      <c r="R24" s="220">
        <f t="shared" si="27"/>
        <v>756.5376</v>
      </c>
      <c r="S24" s="220">
        <f t="shared" si="28"/>
        <v>504.35839999999996</v>
      </c>
      <c r="T24" s="220"/>
      <c r="U24" s="221">
        <f t="shared" si="29"/>
        <v>1260.896</v>
      </c>
      <c r="V24" s="195"/>
      <c r="W24" s="195"/>
      <c r="X24" s="195"/>
      <c r="Y24" s="220">
        <f t="shared" si="30"/>
        <v>2211.4176000000002</v>
      </c>
      <c r="Z24" s="220">
        <f t="shared" si="31"/>
        <v>1474.2783999999997</v>
      </c>
      <c r="AA24" s="195"/>
      <c r="AB24" s="221">
        <f t="shared" si="18"/>
        <v>3685.6959999999999</v>
      </c>
      <c r="AC24" s="220">
        <f t="shared" si="19"/>
        <v>33.695999999999913</v>
      </c>
      <c r="AG24" s="243">
        <f t="shared" si="9"/>
        <v>34.526177437020813</v>
      </c>
    </row>
    <row r="25" spans="1:35" hidden="1" x14ac:dyDescent="0.25">
      <c r="A25" s="698" t="s">
        <v>135</v>
      </c>
      <c r="B25" s="698"/>
      <c r="C25" s="190">
        <f>C6+C19+C21+C23</f>
        <v>49307</v>
      </c>
      <c r="D25" s="190">
        <f>D6+D19+D21+D23</f>
        <v>6664</v>
      </c>
      <c r="E25" s="190">
        <f>E6+E19+E21+E23</f>
        <v>1296</v>
      </c>
      <c r="F25" s="190">
        <f>F6+F19+F21+F23</f>
        <v>5368</v>
      </c>
      <c r="G25" s="190"/>
      <c r="H25" s="193">
        <f t="shared" si="20"/>
        <v>909.3</v>
      </c>
      <c r="I25" s="193">
        <f t="shared" si="21"/>
        <v>606.19999999999993</v>
      </c>
      <c r="J25" s="190"/>
      <c r="K25" s="193">
        <f t="shared" si="22"/>
        <v>945.67200000000003</v>
      </c>
      <c r="L25" s="193">
        <f t="shared" si="23"/>
        <v>630.44799999999998</v>
      </c>
      <c r="M25" s="190"/>
      <c r="N25" s="220">
        <f t="shared" si="25"/>
        <v>9427.6224000000002</v>
      </c>
      <c r="O25" s="220">
        <f t="shared" si="26"/>
        <v>26032.652799999996</v>
      </c>
      <c r="P25" s="220"/>
      <c r="Q25" s="311">
        <f t="shared" si="12"/>
        <v>35460.275199999996</v>
      </c>
      <c r="R25" s="220">
        <f t="shared" si="27"/>
        <v>4902.3636480000005</v>
      </c>
      <c r="S25" s="220">
        <f t="shared" si="28"/>
        <v>13536.979456000001</v>
      </c>
      <c r="T25" s="220"/>
      <c r="U25" s="221">
        <f t="shared" si="29"/>
        <v>18439.343104</v>
      </c>
      <c r="V25" s="191"/>
      <c r="W25" s="191"/>
      <c r="X25" s="191"/>
      <c r="Y25" s="220">
        <f t="shared" si="30"/>
        <v>14329.986048000001</v>
      </c>
      <c r="Z25" s="220">
        <f t="shared" si="31"/>
        <v>39569.632255999997</v>
      </c>
      <c r="AA25" s="191"/>
      <c r="AB25" s="221">
        <f t="shared" si="18"/>
        <v>53899.618303999996</v>
      </c>
      <c r="AC25" s="220">
        <f t="shared" si="19"/>
        <v>4592.618303999996</v>
      </c>
      <c r="AG25" s="243">
        <f t="shared" si="9"/>
        <v>37.397008749264806</v>
      </c>
    </row>
    <row r="26" spans="1:35" s="318" customFormat="1" x14ac:dyDescent="0.25">
      <c r="A26" s="319" t="s">
        <v>155</v>
      </c>
      <c r="B26" s="320" t="s">
        <v>107</v>
      </c>
      <c r="C26" s="190">
        <v>3547.2159999999999</v>
      </c>
      <c r="D26" s="192">
        <v>412</v>
      </c>
      <c r="E26" s="192">
        <v>193</v>
      </c>
      <c r="F26" s="192">
        <v>213</v>
      </c>
      <c r="G26" s="192">
        <v>6</v>
      </c>
      <c r="H26" s="196">
        <f t="shared" si="20"/>
        <v>909.3</v>
      </c>
      <c r="I26" s="196">
        <f t="shared" si="21"/>
        <v>606.19999999999993</v>
      </c>
      <c r="J26" s="192">
        <f>C41</f>
        <v>909.3</v>
      </c>
      <c r="K26" s="196">
        <f t="shared" si="22"/>
        <v>945.67200000000003</v>
      </c>
      <c r="L26" s="196">
        <f t="shared" si="23"/>
        <v>630.44799999999998</v>
      </c>
      <c r="M26" s="192">
        <f>D41</f>
        <v>945.67200000000003</v>
      </c>
      <c r="N26" s="221">
        <f>(E26*H26*8)/1000</f>
        <v>1403.9592</v>
      </c>
      <c r="O26" s="221">
        <f>SUM(F26*I26*8)/1000</f>
        <v>1032.9648</v>
      </c>
      <c r="P26" s="221">
        <f>SUM(G26*J26*8)/1000</f>
        <v>43.646399999999993</v>
      </c>
      <c r="Q26" s="311">
        <f>O26+N26+P26</f>
        <v>2480.5704000000001</v>
      </c>
      <c r="R26" s="221">
        <f t="shared" si="27"/>
        <v>730.05878399999995</v>
      </c>
      <c r="S26" s="221">
        <f>SUM(F26*L26*4)/1000</f>
        <v>537.14169600000002</v>
      </c>
      <c r="T26" s="221">
        <f>SUM(G26*M26*4)/1000</f>
        <v>22.696128000000002</v>
      </c>
      <c r="U26" s="221">
        <f t="shared" si="29"/>
        <v>1289.896608</v>
      </c>
      <c r="V26" s="190"/>
      <c r="W26" s="190"/>
      <c r="X26" s="190"/>
      <c r="Y26" s="221">
        <f t="shared" si="30"/>
        <v>2134.0179840000001</v>
      </c>
      <c r="Z26" s="221">
        <f t="shared" si="31"/>
        <v>1570.1064959999999</v>
      </c>
      <c r="AA26" s="221">
        <f>T26+P26</f>
        <v>66.342527999999987</v>
      </c>
      <c r="AB26" s="221">
        <f t="shared" si="18"/>
        <v>3770.4670080000001</v>
      </c>
      <c r="AC26" s="221">
        <f>SUM(AB26-C26)</f>
        <v>223.25100800000018</v>
      </c>
      <c r="AD26" s="317"/>
      <c r="AE26" s="317"/>
      <c r="AF26" s="317"/>
      <c r="AG26" s="317"/>
      <c r="AH26" s="317"/>
      <c r="AI26" s="317"/>
    </row>
    <row r="27" spans="1:35" s="318" customFormat="1" x14ac:dyDescent="0.25">
      <c r="A27" s="319" t="s">
        <v>155</v>
      </c>
      <c r="B27" s="320" t="s">
        <v>111</v>
      </c>
      <c r="C27" s="190">
        <v>1629.6</v>
      </c>
      <c r="D27" s="192">
        <v>75</v>
      </c>
      <c r="E27" s="192">
        <v>15</v>
      </c>
      <c r="F27" s="192">
        <v>60</v>
      </c>
      <c r="G27" s="192"/>
      <c r="H27" s="196">
        <f t="shared" si="20"/>
        <v>909.3</v>
      </c>
      <c r="I27" s="196">
        <f t="shared" si="21"/>
        <v>606.19999999999993</v>
      </c>
      <c r="J27" s="190"/>
      <c r="K27" s="196">
        <f t="shared" si="22"/>
        <v>945.67200000000003</v>
      </c>
      <c r="L27" s="196">
        <f t="shared" si="23"/>
        <v>630.44799999999998</v>
      </c>
      <c r="M27" s="190"/>
      <c r="N27" s="221">
        <f>(E27*H27*8)/1000</f>
        <v>109.116</v>
      </c>
      <c r="O27" s="221">
        <f>SUM(F27*I27*8)/1000</f>
        <v>290.97599999999994</v>
      </c>
      <c r="P27" s="221"/>
      <c r="Q27" s="311">
        <f t="shared" si="12"/>
        <v>400.09199999999993</v>
      </c>
      <c r="R27" s="221">
        <f>SUM(E27*K27*4)/1000</f>
        <v>56.740319999999997</v>
      </c>
      <c r="S27" s="221">
        <f>SUM(F27*L27*4)/1000</f>
        <v>151.30751999999998</v>
      </c>
      <c r="T27" s="221"/>
      <c r="U27" s="221">
        <f t="shared" si="29"/>
        <v>208.04783999999998</v>
      </c>
      <c r="V27" s="190"/>
      <c r="W27" s="190"/>
      <c r="X27" s="190"/>
      <c r="Y27" s="221">
        <f t="shared" si="30"/>
        <v>165.85631999999998</v>
      </c>
      <c r="Z27" s="221">
        <f t="shared" si="31"/>
        <v>442.28351999999995</v>
      </c>
      <c r="AA27" s="190"/>
      <c r="AB27" s="221">
        <f t="shared" si="18"/>
        <v>608.13983999999994</v>
      </c>
      <c r="AC27" s="221">
        <f t="shared" si="19"/>
        <v>-1021.46016</v>
      </c>
      <c r="AD27" s="317"/>
      <c r="AE27" s="317"/>
      <c r="AF27" s="317"/>
      <c r="AG27" s="317"/>
      <c r="AH27" s="317"/>
      <c r="AI27" s="317"/>
    </row>
    <row r="28" spans="1:35" s="318" customFormat="1" x14ac:dyDescent="0.25">
      <c r="A28" s="319" t="s">
        <v>155</v>
      </c>
      <c r="B28" s="320" t="s">
        <v>272</v>
      </c>
      <c r="C28" s="190">
        <v>3192.5</v>
      </c>
      <c r="D28" s="192">
        <v>346</v>
      </c>
      <c r="E28" s="192">
        <v>196</v>
      </c>
      <c r="F28" s="192">
        <v>140</v>
      </c>
      <c r="G28" s="192">
        <v>10</v>
      </c>
      <c r="H28" s="196">
        <f t="shared" si="20"/>
        <v>909.3</v>
      </c>
      <c r="I28" s="196">
        <f t="shared" si="21"/>
        <v>606.19999999999993</v>
      </c>
      <c r="J28" s="190"/>
      <c r="K28" s="196">
        <f t="shared" si="22"/>
        <v>945.67200000000003</v>
      </c>
      <c r="L28" s="196">
        <f t="shared" si="23"/>
        <v>630.44799999999998</v>
      </c>
      <c r="M28" s="190"/>
      <c r="N28" s="221">
        <f>(E28*H28*8)/1000</f>
        <v>1425.7823999999998</v>
      </c>
      <c r="O28" s="221">
        <f>SUM(F28*I28*8)/1000</f>
        <v>678.94399999999985</v>
      </c>
      <c r="P28" s="221"/>
      <c r="Q28" s="311">
        <f t="shared" si="12"/>
        <v>2104.7263999999996</v>
      </c>
      <c r="R28" s="221">
        <f t="shared" si="27"/>
        <v>741.40684799999997</v>
      </c>
      <c r="S28" s="221">
        <f>SUM(F28*L28*4)/1000</f>
        <v>353.05088000000001</v>
      </c>
      <c r="T28" s="221"/>
      <c r="U28" s="221">
        <f t="shared" si="29"/>
        <v>1094.4577279999999</v>
      </c>
      <c r="V28" s="192">
        <v>5</v>
      </c>
      <c r="W28" s="192">
        <v>5</v>
      </c>
      <c r="X28" s="190">
        <f>W28*V28</f>
        <v>25</v>
      </c>
      <c r="Y28" s="221">
        <f>R28+N28</f>
        <v>2167.1892479999997</v>
      </c>
      <c r="Z28" s="221">
        <f>S28+O28</f>
        <v>1031.9948799999997</v>
      </c>
      <c r="AA28" s="190"/>
      <c r="AB28" s="221">
        <f>Z28+Y28+AA28+X28</f>
        <v>3224.1841279999994</v>
      </c>
      <c r="AC28" s="221">
        <f t="shared" si="19"/>
        <v>31.684127999999419</v>
      </c>
      <c r="AD28" s="317"/>
      <c r="AE28" s="317"/>
      <c r="AF28" s="317"/>
      <c r="AG28" s="317"/>
      <c r="AH28" s="317"/>
      <c r="AI28" s="317"/>
    </row>
    <row r="29" spans="1:35" s="329" customFormat="1" x14ac:dyDescent="0.25">
      <c r="A29" s="325" t="s">
        <v>155</v>
      </c>
      <c r="B29" s="314" t="s">
        <v>90</v>
      </c>
      <c r="C29" s="315">
        <f>C28+C27+C26+C6</f>
        <v>49594.315999999999</v>
      </c>
      <c r="D29" s="315">
        <f>D28+D27+D26+D6</f>
        <v>6584</v>
      </c>
      <c r="E29" s="315">
        <f>E28+E27+E26+E6</f>
        <v>1285</v>
      </c>
      <c r="F29" s="315">
        <f>F28+F27+F26+F6</f>
        <v>5283</v>
      </c>
      <c r="G29" s="315">
        <f>G28+G27+G26+G6</f>
        <v>16</v>
      </c>
      <c r="H29" s="326" t="s">
        <v>155</v>
      </c>
      <c r="I29" s="326" t="s">
        <v>155</v>
      </c>
      <c r="J29" s="326" t="s">
        <v>155</v>
      </c>
      <c r="K29" s="326" t="s">
        <v>155</v>
      </c>
      <c r="L29" s="326" t="s">
        <v>155</v>
      </c>
      <c r="M29" s="326" t="s">
        <v>155</v>
      </c>
      <c r="N29" s="315">
        <f t="shared" ref="N29:AB29" si="32">N28+N27+N26+N6</f>
        <v>9358.5156000000006</v>
      </c>
      <c r="O29" s="315">
        <f t="shared" si="32"/>
        <v>25689.3704</v>
      </c>
      <c r="P29" s="315">
        <f t="shared" si="32"/>
        <v>43.646399999999993</v>
      </c>
      <c r="Q29" s="315">
        <f t="shared" si="32"/>
        <v>35091.532399999989</v>
      </c>
      <c r="R29" s="315">
        <f t="shared" si="32"/>
        <v>4866.4281119999996</v>
      </c>
      <c r="S29" s="315">
        <f t="shared" si="32"/>
        <v>13358.472608000002</v>
      </c>
      <c r="T29" s="315">
        <f t="shared" si="32"/>
        <v>22.696128000000002</v>
      </c>
      <c r="U29" s="315">
        <f t="shared" si="32"/>
        <v>18247.596847999997</v>
      </c>
      <c r="V29" s="315">
        <f t="shared" si="32"/>
        <v>5</v>
      </c>
      <c r="W29" s="315">
        <f t="shared" si="32"/>
        <v>5</v>
      </c>
      <c r="X29" s="315">
        <f t="shared" si="32"/>
        <v>25</v>
      </c>
      <c r="Y29" s="315">
        <f t="shared" si="32"/>
        <v>14224.943712000002</v>
      </c>
      <c r="Z29" s="315">
        <f t="shared" si="32"/>
        <v>39047.843007999996</v>
      </c>
      <c r="AA29" s="315">
        <f t="shared" si="32"/>
        <v>66.342527999999987</v>
      </c>
      <c r="AB29" s="327">
        <f t="shared" si="32"/>
        <v>53364.129247999997</v>
      </c>
      <c r="AC29" s="316">
        <f t="shared" si="19"/>
        <v>3769.8132479999986</v>
      </c>
      <c r="AD29" s="328"/>
      <c r="AE29" s="328"/>
      <c r="AF29" s="328"/>
      <c r="AG29" s="328"/>
      <c r="AH29" s="328"/>
      <c r="AI29" s="328"/>
    </row>
    <row r="30" spans="1:35" x14ac:dyDescent="0.25">
      <c r="B30" s="313"/>
    </row>
    <row r="31" spans="1:35" x14ac:dyDescent="0.25">
      <c r="B31" s="697" t="s">
        <v>303</v>
      </c>
      <c r="C31" s="697"/>
      <c r="D31" s="697"/>
      <c r="E31" s="697"/>
      <c r="F31" s="697"/>
      <c r="G31" s="697"/>
      <c r="H31" s="697"/>
      <c r="I31" s="697"/>
      <c r="J31" s="697"/>
      <c r="K31" s="697"/>
      <c r="L31" s="697"/>
      <c r="M31" s="697"/>
      <c r="N31" s="697"/>
      <c r="AB31" s="379">
        <f>AB8+AB9+AB10+AB11+AB12+AB14+AB15+AB16+AB17+AB18+AB26+AB27+AB28</f>
        <v>46608.248480000002</v>
      </c>
    </row>
    <row r="32" spans="1:35" x14ac:dyDescent="0.25">
      <c r="B32" s="313"/>
      <c r="N32" s="224" t="s">
        <v>170</v>
      </c>
    </row>
    <row r="33" spans="2:14" ht="104.25" customHeight="1" x14ac:dyDescent="0.25">
      <c r="B33" s="694" t="s">
        <v>295</v>
      </c>
      <c r="C33" s="695"/>
      <c r="D33" s="695"/>
      <c r="E33" s="696"/>
      <c r="F33" s="242" t="s">
        <v>296</v>
      </c>
      <c r="G33" s="242" t="s">
        <v>278</v>
      </c>
      <c r="H33" s="242" t="s">
        <v>301</v>
      </c>
      <c r="I33" s="242" t="s">
        <v>297</v>
      </c>
      <c r="J33" s="242" t="s">
        <v>268</v>
      </c>
      <c r="K33" s="242" t="s">
        <v>298</v>
      </c>
      <c r="L33" s="242" t="s">
        <v>168</v>
      </c>
      <c r="M33" s="242" t="s">
        <v>90</v>
      </c>
      <c r="N33" s="189" t="s">
        <v>277</v>
      </c>
    </row>
    <row r="34" spans="2:14" x14ac:dyDescent="0.25">
      <c r="B34" s="682" t="s">
        <v>294</v>
      </c>
      <c r="C34" s="683"/>
      <c r="D34" s="683"/>
      <c r="E34" s="684"/>
      <c r="F34" s="372">
        <v>30</v>
      </c>
      <c r="G34" s="370">
        <v>4000</v>
      </c>
      <c r="H34" s="370">
        <f>G34*1.04</f>
        <v>4160</v>
      </c>
      <c r="I34" s="325">
        <v>10</v>
      </c>
      <c r="J34" s="371">
        <f>(G34*F34*6)/1000</f>
        <v>720</v>
      </c>
      <c r="K34" s="325">
        <f>(H34*F34*4)/1000</f>
        <v>499.2</v>
      </c>
      <c r="L34" s="374">
        <v>700</v>
      </c>
      <c r="M34" s="371">
        <f>J34+K34</f>
        <v>1219.2</v>
      </c>
      <c r="N34" s="371">
        <f>M34-L34</f>
        <v>519.20000000000005</v>
      </c>
    </row>
    <row r="35" spans="2:14" x14ac:dyDescent="0.25">
      <c r="B35" s="681" t="s">
        <v>299</v>
      </c>
      <c r="C35" s="681"/>
      <c r="D35" s="681"/>
      <c r="E35" s="681"/>
      <c r="F35" s="372">
        <f>7+1+10</f>
        <v>18</v>
      </c>
      <c r="G35" s="370">
        <v>3000</v>
      </c>
      <c r="H35" s="370">
        <f>G35*1.04</f>
        <v>3120</v>
      </c>
      <c r="I35" s="325">
        <v>12</v>
      </c>
      <c r="J35" s="371">
        <f>(G35*F35*8)/1000</f>
        <v>432</v>
      </c>
      <c r="K35" s="325">
        <f>(H35*F35*4)/1000</f>
        <v>224.64</v>
      </c>
      <c r="L35" s="685">
        <v>1080</v>
      </c>
      <c r="M35" s="679">
        <f>J35+K35+J36+K36</f>
        <v>997.12</v>
      </c>
      <c r="N35" s="679">
        <f>M35-L35</f>
        <v>-82.88</v>
      </c>
    </row>
    <row r="36" spans="2:14" x14ac:dyDescent="0.25">
      <c r="B36" s="681"/>
      <c r="C36" s="681"/>
      <c r="D36" s="681"/>
      <c r="E36" s="681"/>
      <c r="F36" s="372">
        <f>6+2+6</f>
        <v>14</v>
      </c>
      <c r="G36" s="370">
        <v>2000</v>
      </c>
      <c r="H36" s="370">
        <f>G36*1.04</f>
        <v>2080</v>
      </c>
      <c r="I36" s="325">
        <v>12</v>
      </c>
      <c r="J36" s="371">
        <f>(G36*F36*8)/1000</f>
        <v>224</v>
      </c>
      <c r="K36" s="325">
        <f>(H36*F36*4)/1000</f>
        <v>116.48</v>
      </c>
      <c r="L36" s="685"/>
      <c r="M36" s="680"/>
      <c r="N36" s="680"/>
    </row>
    <row r="37" spans="2:14" x14ac:dyDescent="0.25">
      <c r="B37" s="686" t="s">
        <v>90</v>
      </c>
      <c r="C37" s="687"/>
      <c r="D37" s="687"/>
      <c r="E37" s="687"/>
      <c r="F37" s="687"/>
      <c r="G37" s="687"/>
      <c r="H37" s="687"/>
      <c r="I37" s="687"/>
      <c r="J37" s="687"/>
      <c r="K37" s="688"/>
      <c r="L37" s="315">
        <f>L35+L34+C29</f>
        <v>51374.315999999999</v>
      </c>
      <c r="M37" s="373">
        <f>AB29+M34+M35+M36</f>
        <v>55580.449247999997</v>
      </c>
      <c r="N37" s="371">
        <f t="shared" ref="N37" si="33">M37-L37</f>
        <v>4206.1332479999983</v>
      </c>
    </row>
    <row r="38" spans="2:14" x14ac:dyDescent="0.25">
      <c r="B38" s="378"/>
      <c r="C38" s="375"/>
      <c r="D38" s="375"/>
      <c r="E38" s="375"/>
      <c r="F38" s="375"/>
      <c r="G38" s="375"/>
      <c r="H38" s="375"/>
      <c r="I38" s="375"/>
      <c r="J38" s="375"/>
      <c r="K38" s="375"/>
      <c r="L38" s="312"/>
      <c r="M38" s="376"/>
      <c r="N38" s="377"/>
    </row>
    <row r="39" spans="2:14" ht="63" x14ac:dyDescent="0.25">
      <c r="B39" s="189" t="s">
        <v>134</v>
      </c>
      <c r="C39" s="242" t="s">
        <v>133</v>
      </c>
      <c r="D39" s="242" t="s">
        <v>300</v>
      </c>
    </row>
    <row r="40" spans="2:14" ht="31.5" x14ac:dyDescent="0.25">
      <c r="B40" s="188" t="s">
        <v>131</v>
      </c>
      <c r="C40" s="189">
        <f>433*1.4</f>
        <v>606.19999999999993</v>
      </c>
      <c r="D40" s="186">
        <f>C40*1.04</f>
        <v>630.44799999999998</v>
      </c>
    </row>
    <row r="41" spans="2:14" ht="31.5" x14ac:dyDescent="0.25">
      <c r="B41" s="188" t="s">
        <v>132</v>
      </c>
      <c r="C41" s="189">
        <f>C40*1.5</f>
        <v>909.3</v>
      </c>
      <c r="D41" s="186">
        <f>C41*1.04</f>
        <v>945.67200000000003</v>
      </c>
    </row>
    <row r="42" spans="2:14" ht="31.5" x14ac:dyDescent="0.25">
      <c r="B42" s="188" t="s">
        <v>131</v>
      </c>
      <c r="C42" s="189">
        <f>433*1.5</f>
        <v>649.5</v>
      </c>
      <c r="D42" s="186">
        <f>C42*1.04</f>
        <v>675.48</v>
      </c>
    </row>
    <row r="43" spans="2:14" x14ac:dyDescent="0.25">
      <c r="B43" s="188" t="s">
        <v>130</v>
      </c>
      <c r="C43" s="187">
        <f>C42*1.5</f>
        <v>974.25</v>
      </c>
      <c r="D43" s="186">
        <f>C43*1.04</f>
        <v>1013.22</v>
      </c>
    </row>
  </sheetData>
  <mergeCells count="46">
    <mergeCell ref="B1:U1"/>
    <mergeCell ref="E3:G4"/>
    <mergeCell ref="C3:C5"/>
    <mergeCell ref="B3:B5"/>
    <mergeCell ref="A3:A5"/>
    <mergeCell ref="I4:I5"/>
    <mergeCell ref="H3:J3"/>
    <mergeCell ref="K3:M3"/>
    <mergeCell ref="J4:J5"/>
    <mergeCell ref="AD3:AF3"/>
    <mergeCell ref="D3:D5"/>
    <mergeCell ref="R4:R5"/>
    <mergeCell ref="AD4:AD5"/>
    <mergeCell ref="AE4:AF4"/>
    <mergeCell ref="AC3:AC5"/>
    <mergeCell ref="Y3:AB3"/>
    <mergeCell ref="Y4:Y5"/>
    <mergeCell ref="Z4:Z5"/>
    <mergeCell ref="AB4:AB5"/>
    <mergeCell ref="M4:M5"/>
    <mergeCell ref="P4:P5"/>
    <mergeCell ref="T4:T5"/>
    <mergeCell ref="AA4:AA5"/>
    <mergeCell ref="Q4:Q5"/>
    <mergeCell ref="H4:H5"/>
    <mergeCell ref="B37:K37"/>
    <mergeCell ref="V4:V5"/>
    <mergeCell ref="X4:X5"/>
    <mergeCell ref="V3:X3"/>
    <mergeCell ref="W4:W5"/>
    <mergeCell ref="B33:E33"/>
    <mergeCell ref="B31:N31"/>
    <mergeCell ref="A25:B25"/>
    <mergeCell ref="R3:U3"/>
    <mergeCell ref="U4:U5"/>
    <mergeCell ref="S4:S5"/>
    <mergeCell ref="K4:K5"/>
    <mergeCell ref="L4:L5"/>
    <mergeCell ref="N3:Q3"/>
    <mergeCell ref="N4:N5"/>
    <mergeCell ref="O4:O5"/>
    <mergeCell ref="M35:M36"/>
    <mergeCell ref="N35:N36"/>
    <mergeCell ref="B35:E36"/>
    <mergeCell ref="B34:E34"/>
    <mergeCell ref="L35:L36"/>
  </mergeCells>
  <pageMargins left="0.2" right="0.2" top="0.31" bottom="0.27" header="0.3" footer="0.3"/>
  <pageSetup paperSize="9" scale="3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theme="5" tint="-0.249977111117893"/>
  </sheetPr>
  <dimension ref="A1:X27"/>
  <sheetViews>
    <sheetView view="pageBreakPreview" zoomScale="115" zoomScaleNormal="115" zoomScaleSheetLayoutView="115" workbookViewId="0">
      <selection activeCell="D32" sqref="D32"/>
    </sheetView>
  </sheetViews>
  <sheetFormatPr defaultRowHeight="15" x14ac:dyDescent="0.25"/>
  <cols>
    <col min="1" max="1" width="25" style="226" customWidth="1"/>
    <col min="2" max="2" width="8.140625" style="226" customWidth="1"/>
    <col min="3" max="3" width="5.85546875" style="226" customWidth="1"/>
    <col min="4" max="4" width="7.140625" style="226" customWidth="1"/>
    <col min="5" max="5" width="5.7109375" style="226" customWidth="1"/>
    <col min="6" max="7" width="7.42578125" style="226" customWidth="1"/>
    <col min="8" max="8" width="11.140625" style="226" customWidth="1"/>
    <col min="9" max="9" width="12.140625" style="226" customWidth="1"/>
    <col min="10" max="10" width="11.140625" style="226" customWidth="1"/>
    <col min="11" max="11" width="12" style="226" customWidth="1"/>
    <col min="12" max="12" width="13.28515625" style="226" customWidth="1"/>
    <col min="13" max="13" width="12.7109375" style="226" customWidth="1"/>
    <col min="14" max="14" width="9.7109375" style="226" customWidth="1"/>
    <col min="15" max="15" width="13.140625" style="226" customWidth="1"/>
    <col min="16" max="16" width="12.85546875" style="226" customWidth="1"/>
    <col min="17" max="17" width="9.7109375" style="226" customWidth="1"/>
    <col min="18" max="18" width="10.85546875" style="226" customWidth="1"/>
    <col min="19" max="19" width="12.28515625" style="226" customWidth="1"/>
    <col min="20" max="20" width="13.5703125" style="226" customWidth="1"/>
    <col min="21" max="24" width="9.140625" style="226"/>
    <col min="25" max="16384" width="9.140625" style="227"/>
  </cols>
  <sheetData>
    <row r="1" spans="1:24" x14ac:dyDescent="0.25">
      <c r="A1" s="728" t="s">
        <v>172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</row>
    <row r="2" spans="1:24" x14ac:dyDescent="0.25">
      <c r="T2" s="226" t="s">
        <v>170</v>
      </c>
    </row>
    <row r="3" spans="1:24" s="228" customFormat="1" ht="15" customHeight="1" x14ac:dyDescent="0.25">
      <c r="A3" s="722" t="s">
        <v>173</v>
      </c>
      <c r="B3" s="729" t="s">
        <v>174</v>
      </c>
      <c r="C3" s="730"/>
      <c r="D3" s="730"/>
      <c r="E3" s="730"/>
      <c r="F3" s="730"/>
      <c r="G3" s="731"/>
      <c r="H3" s="722" t="s">
        <v>175</v>
      </c>
      <c r="I3" s="722" t="s">
        <v>176</v>
      </c>
      <c r="J3" s="722" t="s">
        <v>177</v>
      </c>
      <c r="K3" s="732" t="s">
        <v>178</v>
      </c>
      <c r="L3" s="732"/>
      <c r="M3" s="732"/>
      <c r="N3" s="732"/>
      <c r="O3" s="732" t="s">
        <v>179</v>
      </c>
      <c r="P3" s="732"/>
      <c r="Q3" s="732"/>
      <c r="R3" s="732" t="s">
        <v>180</v>
      </c>
      <c r="S3" s="732"/>
      <c r="T3" s="732"/>
      <c r="U3" s="226"/>
      <c r="V3" s="226"/>
      <c r="W3" s="226"/>
      <c r="X3" s="226"/>
    </row>
    <row r="4" spans="1:24" s="228" customFormat="1" ht="11.25" customHeight="1" x14ac:dyDescent="0.25">
      <c r="A4" s="723"/>
      <c r="B4" s="733" t="s">
        <v>181</v>
      </c>
      <c r="C4" s="734"/>
      <c r="D4" s="734"/>
      <c r="E4" s="734"/>
      <c r="F4" s="734"/>
      <c r="G4" s="735"/>
      <c r="H4" s="723"/>
      <c r="I4" s="723"/>
      <c r="J4" s="723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226"/>
      <c r="V4" s="226"/>
      <c r="W4" s="226"/>
      <c r="X4" s="226"/>
    </row>
    <row r="5" spans="1:24" s="228" customFormat="1" ht="28.5" customHeight="1" x14ac:dyDescent="0.25">
      <c r="A5" s="723"/>
      <c r="B5" s="736" t="s">
        <v>90</v>
      </c>
      <c r="C5" s="739" t="s">
        <v>182</v>
      </c>
      <c r="D5" s="740"/>
      <c r="E5" s="741"/>
      <c r="F5" s="736" t="s">
        <v>183</v>
      </c>
      <c r="G5" s="736" t="s">
        <v>179</v>
      </c>
      <c r="H5" s="723"/>
      <c r="I5" s="723"/>
      <c r="J5" s="723"/>
      <c r="K5" s="722" t="s">
        <v>184</v>
      </c>
      <c r="L5" s="722" t="s">
        <v>386</v>
      </c>
      <c r="M5" s="722" t="s">
        <v>387</v>
      </c>
      <c r="N5" s="722" t="s">
        <v>388</v>
      </c>
      <c r="O5" s="722" t="s">
        <v>386</v>
      </c>
      <c r="P5" s="722" t="s">
        <v>387</v>
      </c>
      <c r="Q5" s="722" t="s">
        <v>388</v>
      </c>
      <c r="R5" s="722" t="s">
        <v>386</v>
      </c>
      <c r="S5" s="722" t="s">
        <v>387</v>
      </c>
      <c r="T5" s="725" t="s">
        <v>388</v>
      </c>
      <c r="U5" s="226"/>
      <c r="V5" s="226"/>
      <c r="W5" s="226"/>
      <c r="X5" s="226"/>
    </row>
    <row r="6" spans="1:24" s="228" customFormat="1" ht="62.25" customHeight="1" x14ac:dyDescent="0.25">
      <c r="A6" s="723"/>
      <c r="B6" s="737"/>
      <c r="C6" s="742"/>
      <c r="D6" s="743"/>
      <c r="E6" s="744"/>
      <c r="F6" s="737"/>
      <c r="G6" s="737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6"/>
      <c r="U6" s="226"/>
      <c r="V6" s="226"/>
      <c r="W6" s="226"/>
      <c r="X6" s="226"/>
    </row>
    <row r="7" spans="1:24" s="228" customFormat="1" ht="60" customHeight="1" x14ac:dyDescent="0.25">
      <c r="A7" s="724"/>
      <c r="B7" s="738"/>
      <c r="C7" s="229" t="s">
        <v>185</v>
      </c>
      <c r="D7" s="230" t="s">
        <v>186</v>
      </c>
      <c r="E7" s="230" t="s">
        <v>187</v>
      </c>
      <c r="F7" s="738"/>
      <c r="G7" s="738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7"/>
      <c r="U7" s="226"/>
      <c r="V7" s="226"/>
      <c r="W7" s="226"/>
      <c r="X7" s="226"/>
    </row>
    <row r="8" spans="1:24" s="463" customFormat="1" x14ac:dyDescent="0.25">
      <c r="A8" s="457" t="s">
        <v>90</v>
      </c>
      <c r="B8" s="458">
        <f>B9+B10+B11+B12+B13+B14+B15+B16+B17+B18+B19+B20+B21+B22+B23+B24+B25+B26+B27</f>
        <v>3659</v>
      </c>
      <c r="C8" s="458">
        <f t="shared" ref="C8:G8" si="0">C9+C10+C11+C12+C13+C14+C15+C16+C17+C18+C19+C20+C21+C22+C23+C24+C25+C26+C27</f>
        <v>1004</v>
      </c>
      <c r="D8" s="458">
        <f t="shared" si="0"/>
        <v>739</v>
      </c>
      <c r="E8" s="458">
        <f t="shared" si="0"/>
        <v>265</v>
      </c>
      <c r="F8" s="458">
        <f t="shared" si="0"/>
        <v>2655</v>
      </c>
      <c r="G8" s="458">
        <f t="shared" si="0"/>
        <v>2920</v>
      </c>
      <c r="H8" s="458">
        <v>104</v>
      </c>
      <c r="I8" s="458">
        <v>2288</v>
      </c>
      <c r="J8" s="459">
        <v>20592</v>
      </c>
      <c r="K8" s="460" t="s">
        <v>155</v>
      </c>
      <c r="L8" s="461">
        <f>L9+L10+L11+L12+L13+L14+L15+L16+L17+L18+L19+L20+L21+L22+L23+L24+L25+L26+L27</f>
        <v>29.146159999999995</v>
      </c>
      <c r="M8" s="461">
        <f>M9+M10+M11+M12+M13+M14+M15+M16+M17+M18+M19+M20+M21+M22+M23+M24+M25+M26+M27</f>
        <v>612.06935999999985</v>
      </c>
      <c r="N8" s="461">
        <f>N9+N10+N11+N12+N13+N14+N15+N16+N17+N18+N19+N20+N21+N22+N23+N24+N25+N26+N27</f>
        <v>4896.5548799999988</v>
      </c>
      <c r="O8" s="461">
        <f>O9+O10+O11+O12+O13+O14+O15+O16+O17+O18+O19+O20+O21+O22+O23+O24+O25+O26+O27</f>
        <v>303.68</v>
      </c>
      <c r="P8" s="461">
        <f>P9+P10+P11+P12+P13+P14+P15+P16+P17+P18+P19+P20+P21+P22+P23+P24+P25+P26+P27</f>
        <v>6377.2800000000007</v>
      </c>
      <c r="Q8" s="461">
        <f t="shared" ref="Q8:T8" si="1">Q9+Q10+Q11+Q12+Q13+Q14+Q15+Q16+Q17+Q18+Q19+Q20+Q21+Q22+Q23+Q24+Q25+Q26+Q27</f>
        <v>51018.240000000005</v>
      </c>
      <c r="R8" s="461">
        <f t="shared" si="1"/>
        <v>332.82616000000002</v>
      </c>
      <c r="S8" s="461">
        <f t="shared" si="1"/>
        <v>6989.3493599999993</v>
      </c>
      <c r="T8" s="461">
        <f t="shared" si="1"/>
        <v>55914.794879999994</v>
      </c>
      <c r="U8" s="462"/>
      <c r="V8" s="462"/>
      <c r="W8" s="462"/>
      <c r="X8" s="462"/>
    </row>
    <row r="9" spans="1:24" s="231" customFormat="1" x14ac:dyDescent="0.25">
      <c r="A9" s="232" t="s">
        <v>188</v>
      </c>
      <c r="B9" s="233">
        <f>C9+F9</f>
        <v>96</v>
      </c>
      <c r="C9" s="233">
        <f>D9+E9</f>
        <v>8</v>
      </c>
      <c r="D9" s="233">
        <v>3</v>
      </c>
      <c r="E9" s="233">
        <v>5</v>
      </c>
      <c r="F9" s="234">
        <v>88</v>
      </c>
      <c r="G9" s="233">
        <f>E9+F9</f>
        <v>93</v>
      </c>
      <c r="H9" s="234">
        <v>104</v>
      </c>
      <c r="I9" s="233">
        <f>H9*22</f>
        <v>2288</v>
      </c>
      <c r="J9" s="235">
        <f>I9*9</f>
        <v>20592</v>
      </c>
      <c r="K9" s="236">
        <f>H9-64.56</f>
        <v>39.44</v>
      </c>
      <c r="L9" s="237">
        <f>K9*D9/1000</f>
        <v>0.11831999999999999</v>
      </c>
      <c r="M9" s="237">
        <f>L9*21</f>
        <v>2.4847199999999998</v>
      </c>
      <c r="N9" s="237">
        <f>M9*8</f>
        <v>19.877759999999999</v>
      </c>
      <c r="O9" s="238">
        <f>H9*G9/1000</f>
        <v>9.6720000000000006</v>
      </c>
      <c r="P9" s="237">
        <f>O9*21</f>
        <v>203.11200000000002</v>
      </c>
      <c r="Q9" s="237">
        <f>P9*8</f>
        <v>1624.8960000000002</v>
      </c>
      <c r="R9" s="237">
        <f>L9+O9</f>
        <v>9.7903200000000012</v>
      </c>
      <c r="S9" s="237">
        <f>M9+P9</f>
        <v>205.59672000000003</v>
      </c>
      <c r="T9" s="632">
        <f>N9+Q9</f>
        <v>1644.7737600000003</v>
      </c>
      <c r="U9" s="226"/>
      <c r="V9" s="226"/>
      <c r="W9" s="226"/>
      <c r="X9" s="226"/>
    </row>
    <row r="10" spans="1:24" s="231" customFormat="1" x14ac:dyDescent="0.25">
      <c r="A10" s="232" t="s">
        <v>189</v>
      </c>
      <c r="B10" s="233">
        <f t="shared" ref="B10:B27" si="2">C10+F10</f>
        <v>74</v>
      </c>
      <c r="C10" s="233">
        <f t="shared" ref="C10:C27" si="3">D10+E10</f>
        <v>16</v>
      </c>
      <c r="D10" s="233">
        <v>11</v>
      </c>
      <c r="E10" s="233">
        <v>5</v>
      </c>
      <c r="F10" s="233">
        <v>58</v>
      </c>
      <c r="G10" s="233">
        <f t="shared" ref="G10:G27" si="4">E10+F10</f>
        <v>63</v>
      </c>
      <c r="H10" s="234">
        <v>104</v>
      </c>
      <c r="I10" s="233">
        <f t="shared" ref="I10:I27" si="5">H10*22</f>
        <v>2288</v>
      </c>
      <c r="J10" s="235">
        <f t="shared" ref="J10:J27" si="6">I10*9</f>
        <v>20592</v>
      </c>
      <c r="K10" s="236">
        <f t="shared" ref="K10:K27" si="7">H10-64.56</f>
        <v>39.44</v>
      </c>
      <c r="L10" s="237">
        <f t="shared" ref="L10:L27" si="8">K10*D10/1000</f>
        <v>0.43383999999999995</v>
      </c>
      <c r="M10" s="237">
        <f t="shared" ref="M10:M27" si="9">L10*21</f>
        <v>9.1106399999999983</v>
      </c>
      <c r="N10" s="237">
        <f t="shared" ref="N10:N27" si="10">M10*8</f>
        <v>72.885119999999986</v>
      </c>
      <c r="O10" s="238">
        <f t="shared" ref="O10:O27" si="11">H10*G10/1000</f>
        <v>6.5519999999999996</v>
      </c>
      <c r="P10" s="237">
        <f t="shared" ref="P10:P27" si="12">O10*21</f>
        <v>137.59199999999998</v>
      </c>
      <c r="Q10" s="237">
        <f t="shared" ref="Q10:Q27" si="13">P10*8</f>
        <v>1100.7359999999999</v>
      </c>
      <c r="R10" s="237">
        <f t="shared" ref="R10:T27" si="14">L10+O10</f>
        <v>6.9858399999999996</v>
      </c>
      <c r="S10" s="237">
        <f t="shared" si="14"/>
        <v>146.70263999999997</v>
      </c>
      <c r="T10" s="632">
        <f t="shared" si="14"/>
        <v>1173.6211199999998</v>
      </c>
      <c r="U10" s="226"/>
      <c r="V10" s="226"/>
      <c r="W10" s="226"/>
      <c r="X10" s="226"/>
    </row>
    <row r="11" spans="1:24" s="231" customFormat="1" x14ac:dyDescent="0.25">
      <c r="A11" s="232" t="s">
        <v>190</v>
      </c>
      <c r="B11" s="233">
        <f t="shared" si="2"/>
        <v>261</v>
      </c>
      <c r="C11" s="233">
        <f t="shared" si="3"/>
        <v>50</v>
      </c>
      <c r="D11" s="233">
        <v>34</v>
      </c>
      <c r="E11" s="233">
        <v>16</v>
      </c>
      <c r="F11" s="233">
        <v>211</v>
      </c>
      <c r="G11" s="233">
        <f t="shared" si="4"/>
        <v>227</v>
      </c>
      <c r="H11" s="234">
        <v>104</v>
      </c>
      <c r="I11" s="233">
        <f t="shared" si="5"/>
        <v>2288</v>
      </c>
      <c r="J11" s="235">
        <f t="shared" si="6"/>
        <v>20592</v>
      </c>
      <c r="K11" s="236">
        <f t="shared" si="7"/>
        <v>39.44</v>
      </c>
      <c r="L11" s="237">
        <f t="shared" si="8"/>
        <v>1.3409599999999999</v>
      </c>
      <c r="M11" s="237">
        <f t="shared" si="9"/>
        <v>28.160159999999998</v>
      </c>
      <c r="N11" s="237">
        <f t="shared" si="10"/>
        <v>225.28127999999998</v>
      </c>
      <c r="O11" s="238">
        <f t="shared" si="11"/>
        <v>23.608000000000001</v>
      </c>
      <c r="P11" s="237">
        <f t="shared" si="12"/>
        <v>495.76800000000003</v>
      </c>
      <c r="Q11" s="237">
        <f t="shared" si="13"/>
        <v>3966.1440000000002</v>
      </c>
      <c r="R11" s="237">
        <f t="shared" si="14"/>
        <v>24.94896</v>
      </c>
      <c r="S11" s="237">
        <f t="shared" si="14"/>
        <v>523.92816000000005</v>
      </c>
      <c r="T11" s="632">
        <f t="shared" si="14"/>
        <v>4191.4252800000004</v>
      </c>
      <c r="U11" s="226"/>
      <c r="V11" s="226"/>
      <c r="W11" s="226"/>
      <c r="X11" s="226"/>
    </row>
    <row r="12" spans="1:24" s="231" customFormat="1" x14ac:dyDescent="0.25">
      <c r="A12" s="232" t="s">
        <v>191</v>
      </c>
      <c r="B12" s="233">
        <f t="shared" si="2"/>
        <v>154</v>
      </c>
      <c r="C12" s="233">
        <f t="shared" si="3"/>
        <v>49</v>
      </c>
      <c r="D12" s="233">
        <v>30</v>
      </c>
      <c r="E12" s="233">
        <v>19</v>
      </c>
      <c r="F12" s="233">
        <v>105</v>
      </c>
      <c r="G12" s="233">
        <f t="shared" si="4"/>
        <v>124</v>
      </c>
      <c r="H12" s="234">
        <v>104</v>
      </c>
      <c r="I12" s="233">
        <f t="shared" si="5"/>
        <v>2288</v>
      </c>
      <c r="J12" s="235">
        <f t="shared" si="6"/>
        <v>20592</v>
      </c>
      <c r="K12" s="236">
        <f t="shared" si="7"/>
        <v>39.44</v>
      </c>
      <c r="L12" s="237">
        <f t="shared" si="8"/>
        <v>1.1831999999999998</v>
      </c>
      <c r="M12" s="237">
        <f t="shared" si="9"/>
        <v>24.847199999999997</v>
      </c>
      <c r="N12" s="237">
        <f t="shared" si="10"/>
        <v>198.77759999999998</v>
      </c>
      <c r="O12" s="238">
        <f t="shared" si="11"/>
        <v>12.896000000000001</v>
      </c>
      <c r="P12" s="237">
        <f t="shared" si="12"/>
        <v>270.81600000000003</v>
      </c>
      <c r="Q12" s="237">
        <f t="shared" si="13"/>
        <v>2166.5280000000002</v>
      </c>
      <c r="R12" s="237">
        <f t="shared" si="14"/>
        <v>14.0792</v>
      </c>
      <c r="S12" s="237">
        <f t="shared" si="14"/>
        <v>295.66320000000002</v>
      </c>
      <c r="T12" s="632">
        <f t="shared" si="14"/>
        <v>2365.3056000000001</v>
      </c>
      <c r="U12" s="226"/>
      <c r="V12" s="226"/>
      <c r="W12" s="226"/>
      <c r="X12" s="226"/>
    </row>
    <row r="13" spans="1:24" s="231" customFormat="1" x14ac:dyDescent="0.25">
      <c r="A13" s="232" t="s">
        <v>192</v>
      </c>
      <c r="B13" s="233">
        <f t="shared" si="2"/>
        <v>276</v>
      </c>
      <c r="C13" s="233">
        <f t="shared" si="3"/>
        <v>91</v>
      </c>
      <c r="D13" s="233">
        <v>78</v>
      </c>
      <c r="E13" s="233">
        <v>13</v>
      </c>
      <c r="F13" s="233">
        <v>185</v>
      </c>
      <c r="G13" s="233">
        <f t="shared" si="4"/>
        <v>198</v>
      </c>
      <c r="H13" s="234">
        <v>104</v>
      </c>
      <c r="I13" s="233">
        <f t="shared" si="5"/>
        <v>2288</v>
      </c>
      <c r="J13" s="235">
        <f t="shared" si="6"/>
        <v>20592</v>
      </c>
      <c r="K13" s="236">
        <f t="shared" si="7"/>
        <v>39.44</v>
      </c>
      <c r="L13" s="237">
        <f t="shared" si="8"/>
        <v>3.0763199999999995</v>
      </c>
      <c r="M13" s="237">
        <f t="shared" si="9"/>
        <v>64.602719999999991</v>
      </c>
      <c r="N13" s="237">
        <f t="shared" si="10"/>
        <v>516.82175999999993</v>
      </c>
      <c r="O13" s="238">
        <f t="shared" si="11"/>
        <v>20.591999999999999</v>
      </c>
      <c r="P13" s="237">
        <f t="shared" si="12"/>
        <v>432.43199999999996</v>
      </c>
      <c r="Q13" s="237">
        <f t="shared" si="13"/>
        <v>3459.4559999999997</v>
      </c>
      <c r="R13" s="237">
        <f t="shared" si="14"/>
        <v>23.668319999999998</v>
      </c>
      <c r="S13" s="237">
        <f t="shared" si="14"/>
        <v>497.03471999999994</v>
      </c>
      <c r="T13" s="632">
        <f t="shared" si="14"/>
        <v>3976.2777599999995</v>
      </c>
      <c r="U13" s="226"/>
      <c r="V13" s="226"/>
      <c r="W13" s="226"/>
      <c r="X13" s="226"/>
    </row>
    <row r="14" spans="1:24" s="231" customFormat="1" x14ac:dyDescent="0.25">
      <c r="A14" s="232" t="s">
        <v>193</v>
      </c>
      <c r="B14" s="233">
        <f t="shared" si="2"/>
        <v>70</v>
      </c>
      <c r="C14" s="233">
        <f t="shared" si="3"/>
        <v>17</v>
      </c>
      <c r="D14" s="233">
        <v>15</v>
      </c>
      <c r="E14" s="233">
        <v>2</v>
      </c>
      <c r="F14" s="233">
        <v>53</v>
      </c>
      <c r="G14" s="233">
        <f t="shared" si="4"/>
        <v>55</v>
      </c>
      <c r="H14" s="234">
        <v>104</v>
      </c>
      <c r="I14" s="233">
        <f t="shared" si="5"/>
        <v>2288</v>
      </c>
      <c r="J14" s="235">
        <f t="shared" si="6"/>
        <v>20592</v>
      </c>
      <c r="K14" s="236">
        <f t="shared" si="7"/>
        <v>39.44</v>
      </c>
      <c r="L14" s="237">
        <f t="shared" si="8"/>
        <v>0.5915999999999999</v>
      </c>
      <c r="M14" s="237">
        <f t="shared" si="9"/>
        <v>12.423599999999999</v>
      </c>
      <c r="N14" s="237">
        <f t="shared" si="10"/>
        <v>99.388799999999989</v>
      </c>
      <c r="O14" s="238">
        <f t="shared" si="11"/>
        <v>5.72</v>
      </c>
      <c r="P14" s="237">
        <f t="shared" si="12"/>
        <v>120.11999999999999</v>
      </c>
      <c r="Q14" s="237">
        <f t="shared" si="13"/>
        <v>960.95999999999992</v>
      </c>
      <c r="R14" s="237">
        <f t="shared" si="14"/>
        <v>6.3115999999999994</v>
      </c>
      <c r="S14" s="237">
        <f t="shared" si="14"/>
        <v>132.5436</v>
      </c>
      <c r="T14" s="632">
        <f t="shared" si="14"/>
        <v>1060.3488</v>
      </c>
      <c r="U14" s="226"/>
      <c r="V14" s="226"/>
      <c r="W14" s="226"/>
      <c r="X14" s="226"/>
    </row>
    <row r="15" spans="1:24" s="231" customFormat="1" x14ac:dyDescent="0.25">
      <c r="A15" s="232" t="s">
        <v>194</v>
      </c>
      <c r="B15" s="233">
        <f t="shared" si="2"/>
        <v>50</v>
      </c>
      <c r="C15" s="233">
        <f t="shared" si="3"/>
        <v>14</v>
      </c>
      <c r="D15" s="233">
        <v>6</v>
      </c>
      <c r="E15" s="233">
        <v>8</v>
      </c>
      <c r="F15" s="233">
        <v>36</v>
      </c>
      <c r="G15" s="233">
        <f t="shared" si="4"/>
        <v>44</v>
      </c>
      <c r="H15" s="234">
        <v>104</v>
      </c>
      <c r="I15" s="233">
        <f t="shared" si="5"/>
        <v>2288</v>
      </c>
      <c r="J15" s="235">
        <f t="shared" si="6"/>
        <v>20592</v>
      </c>
      <c r="K15" s="236">
        <f t="shared" si="7"/>
        <v>39.44</v>
      </c>
      <c r="L15" s="237">
        <f t="shared" si="8"/>
        <v>0.23663999999999999</v>
      </c>
      <c r="M15" s="237">
        <f t="shared" si="9"/>
        <v>4.9694399999999996</v>
      </c>
      <c r="N15" s="237">
        <f t="shared" si="10"/>
        <v>39.755519999999997</v>
      </c>
      <c r="O15" s="238">
        <f t="shared" si="11"/>
        <v>4.5759999999999996</v>
      </c>
      <c r="P15" s="237">
        <f t="shared" si="12"/>
        <v>96.095999999999989</v>
      </c>
      <c r="Q15" s="237">
        <f t="shared" si="13"/>
        <v>768.76799999999992</v>
      </c>
      <c r="R15" s="237">
        <f t="shared" si="14"/>
        <v>4.81264</v>
      </c>
      <c r="S15" s="237">
        <f t="shared" si="14"/>
        <v>101.06544</v>
      </c>
      <c r="T15" s="632">
        <f t="shared" si="14"/>
        <v>808.52351999999996</v>
      </c>
      <c r="U15" s="226"/>
      <c r="V15" s="226"/>
      <c r="W15" s="226"/>
      <c r="X15" s="226"/>
    </row>
    <row r="16" spans="1:24" s="231" customFormat="1" x14ac:dyDescent="0.25">
      <c r="A16" s="232" t="s">
        <v>195</v>
      </c>
      <c r="B16" s="233">
        <f t="shared" si="2"/>
        <v>153</v>
      </c>
      <c r="C16" s="233">
        <f t="shared" si="3"/>
        <v>38</v>
      </c>
      <c r="D16" s="233">
        <v>29</v>
      </c>
      <c r="E16" s="233">
        <v>9</v>
      </c>
      <c r="F16" s="233">
        <v>115</v>
      </c>
      <c r="G16" s="233">
        <f t="shared" si="4"/>
        <v>124</v>
      </c>
      <c r="H16" s="234">
        <v>104</v>
      </c>
      <c r="I16" s="233">
        <f t="shared" si="5"/>
        <v>2288</v>
      </c>
      <c r="J16" s="235">
        <f t="shared" si="6"/>
        <v>20592</v>
      </c>
      <c r="K16" s="236">
        <f t="shared" si="7"/>
        <v>39.44</v>
      </c>
      <c r="L16" s="237">
        <f t="shared" si="8"/>
        <v>1.1437599999999999</v>
      </c>
      <c r="M16" s="237">
        <f t="shared" si="9"/>
        <v>24.018959999999996</v>
      </c>
      <c r="N16" s="237">
        <f t="shared" si="10"/>
        <v>192.15167999999997</v>
      </c>
      <c r="O16" s="238">
        <f t="shared" si="11"/>
        <v>12.896000000000001</v>
      </c>
      <c r="P16" s="237">
        <f t="shared" si="12"/>
        <v>270.81600000000003</v>
      </c>
      <c r="Q16" s="237">
        <f t="shared" si="13"/>
        <v>2166.5280000000002</v>
      </c>
      <c r="R16" s="237">
        <f t="shared" si="14"/>
        <v>14.039760000000001</v>
      </c>
      <c r="S16" s="237">
        <f t="shared" si="14"/>
        <v>294.83496000000002</v>
      </c>
      <c r="T16" s="632">
        <f t="shared" si="14"/>
        <v>2358.6796800000002</v>
      </c>
      <c r="U16" s="226"/>
      <c r="V16" s="226"/>
      <c r="W16" s="226"/>
      <c r="X16" s="226"/>
    </row>
    <row r="17" spans="1:24" s="231" customFormat="1" x14ac:dyDescent="0.25">
      <c r="A17" s="232" t="s">
        <v>196</v>
      </c>
      <c r="B17" s="233">
        <f t="shared" si="2"/>
        <v>39</v>
      </c>
      <c r="C17" s="233">
        <f t="shared" si="3"/>
        <v>7</v>
      </c>
      <c r="D17" s="233">
        <v>2</v>
      </c>
      <c r="E17" s="233">
        <v>5</v>
      </c>
      <c r="F17" s="233">
        <v>32</v>
      </c>
      <c r="G17" s="233">
        <f t="shared" si="4"/>
        <v>37</v>
      </c>
      <c r="H17" s="234">
        <v>104</v>
      </c>
      <c r="I17" s="233">
        <f t="shared" si="5"/>
        <v>2288</v>
      </c>
      <c r="J17" s="235">
        <f t="shared" si="6"/>
        <v>20592</v>
      </c>
      <c r="K17" s="236">
        <f t="shared" si="7"/>
        <v>39.44</v>
      </c>
      <c r="L17" s="237">
        <f t="shared" si="8"/>
        <v>7.8879999999999992E-2</v>
      </c>
      <c r="M17" s="237">
        <f t="shared" si="9"/>
        <v>1.6564799999999997</v>
      </c>
      <c r="N17" s="237">
        <f t="shared" si="10"/>
        <v>13.251839999999998</v>
      </c>
      <c r="O17" s="238">
        <f t="shared" si="11"/>
        <v>3.8479999999999999</v>
      </c>
      <c r="P17" s="237">
        <f t="shared" si="12"/>
        <v>80.807999999999993</v>
      </c>
      <c r="Q17" s="237">
        <f t="shared" si="13"/>
        <v>646.46399999999994</v>
      </c>
      <c r="R17" s="237">
        <f t="shared" si="14"/>
        <v>3.9268799999999997</v>
      </c>
      <c r="S17" s="237">
        <f t="shared" si="14"/>
        <v>82.464479999999995</v>
      </c>
      <c r="T17" s="632">
        <f t="shared" si="14"/>
        <v>659.71583999999996</v>
      </c>
      <c r="U17" s="226"/>
      <c r="V17" s="226"/>
      <c r="W17" s="226"/>
      <c r="X17" s="226"/>
    </row>
    <row r="18" spans="1:24" s="231" customFormat="1" x14ac:dyDescent="0.25">
      <c r="A18" s="232" t="s">
        <v>197</v>
      </c>
      <c r="B18" s="233">
        <f t="shared" si="2"/>
        <v>117</v>
      </c>
      <c r="C18" s="233">
        <f t="shared" si="3"/>
        <v>22</v>
      </c>
      <c r="D18" s="233">
        <v>8</v>
      </c>
      <c r="E18" s="233">
        <v>14</v>
      </c>
      <c r="F18" s="233">
        <v>95</v>
      </c>
      <c r="G18" s="233">
        <f t="shared" si="4"/>
        <v>109</v>
      </c>
      <c r="H18" s="234">
        <v>104</v>
      </c>
      <c r="I18" s="233">
        <f t="shared" si="5"/>
        <v>2288</v>
      </c>
      <c r="J18" s="235">
        <f t="shared" si="6"/>
        <v>20592</v>
      </c>
      <c r="K18" s="236">
        <f t="shared" si="7"/>
        <v>39.44</v>
      </c>
      <c r="L18" s="237">
        <f t="shared" si="8"/>
        <v>0.31551999999999997</v>
      </c>
      <c r="M18" s="237">
        <f t="shared" si="9"/>
        <v>6.6259199999999989</v>
      </c>
      <c r="N18" s="237">
        <f t="shared" si="10"/>
        <v>53.007359999999991</v>
      </c>
      <c r="O18" s="238">
        <f t="shared" si="11"/>
        <v>11.336</v>
      </c>
      <c r="P18" s="237">
        <f t="shared" si="12"/>
        <v>238.05600000000001</v>
      </c>
      <c r="Q18" s="237">
        <f t="shared" si="13"/>
        <v>1904.4480000000001</v>
      </c>
      <c r="R18" s="237">
        <f t="shared" si="14"/>
        <v>11.65152</v>
      </c>
      <c r="S18" s="237">
        <f t="shared" si="14"/>
        <v>244.68192000000002</v>
      </c>
      <c r="T18" s="632">
        <f t="shared" si="14"/>
        <v>1957.4553600000002</v>
      </c>
      <c r="U18" s="226"/>
      <c r="V18" s="226"/>
      <c r="W18" s="226"/>
      <c r="X18" s="226"/>
    </row>
    <row r="19" spans="1:24" s="231" customFormat="1" ht="17.25" customHeight="1" x14ac:dyDescent="0.25">
      <c r="A19" s="232" t="s">
        <v>198</v>
      </c>
      <c r="B19" s="233">
        <f t="shared" si="2"/>
        <v>154</v>
      </c>
      <c r="C19" s="233">
        <f t="shared" si="3"/>
        <v>33</v>
      </c>
      <c r="D19" s="233">
        <v>12</v>
      </c>
      <c r="E19" s="233">
        <v>21</v>
      </c>
      <c r="F19" s="233">
        <v>121</v>
      </c>
      <c r="G19" s="233">
        <f t="shared" si="4"/>
        <v>142</v>
      </c>
      <c r="H19" s="234">
        <v>104</v>
      </c>
      <c r="I19" s="233">
        <f t="shared" si="5"/>
        <v>2288</v>
      </c>
      <c r="J19" s="235">
        <f t="shared" si="6"/>
        <v>20592</v>
      </c>
      <c r="K19" s="236">
        <f t="shared" si="7"/>
        <v>39.44</v>
      </c>
      <c r="L19" s="237">
        <f t="shared" si="8"/>
        <v>0.47327999999999998</v>
      </c>
      <c r="M19" s="237">
        <f t="shared" si="9"/>
        <v>9.9388799999999993</v>
      </c>
      <c r="N19" s="237">
        <f t="shared" si="10"/>
        <v>79.511039999999994</v>
      </c>
      <c r="O19" s="238">
        <f t="shared" si="11"/>
        <v>14.768000000000001</v>
      </c>
      <c r="P19" s="237">
        <f t="shared" si="12"/>
        <v>310.12800000000004</v>
      </c>
      <c r="Q19" s="237">
        <f t="shared" si="13"/>
        <v>2481.0240000000003</v>
      </c>
      <c r="R19" s="237">
        <f t="shared" si="14"/>
        <v>15.241280000000001</v>
      </c>
      <c r="S19" s="237">
        <f t="shared" si="14"/>
        <v>320.06688000000003</v>
      </c>
      <c r="T19" s="632">
        <f t="shared" si="14"/>
        <v>2560.5350400000002</v>
      </c>
      <c r="U19" s="226"/>
      <c r="V19" s="226"/>
      <c r="W19" s="226"/>
      <c r="X19" s="226"/>
    </row>
    <row r="20" spans="1:24" s="231" customFormat="1" x14ac:dyDescent="0.25">
      <c r="A20" s="232" t="s">
        <v>199</v>
      </c>
      <c r="B20" s="233">
        <f t="shared" si="2"/>
        <v>36</v>
      </c>
      <c r="C20" s="233">
        <f t="shared" si="3"/>
        <v>5</v>
      </c>
      <c r="D20" s="233">
        <v>4</v>
      </c>
      <c r="E20" s="233">
        <v>1</v>
      </c>
      <c r="F20" s="233">
        <v>31</v>
      </c>
      <c r="G20" s="233">
        <f t="shared" si="4"/>
        <v>32</v>
      </c>
      <c r="H20" s="234">
        <v>104</v>
      </c>
      <c r="I20" s="233">
        <f t="shared" si="5"/>
        <v>2288</v>
      </c>
      <c r="J20" s="235">
        <f t="shared" si="6"/>
        <v>20592</v>
      </c>
      <c r="K20" s="236">
        <f t="shared" si="7"/>
        <v>39.44</v>
      </c>
      <c r="L20" s="237">
        <f t="shared" si="8"/>
        <v>0.15775999999999998</v>
      </c>
      <c r="M20" s="237">
        <f t="shared" si="9"/>
        <v>3.3129599999999995</v>
      </c>
      <c r="N20" s="237">
        <f t="shared" si="10"/>
        <v>26.503679999999996</v>
      </c>
      <c r="O20" s="238">
        <f t="shared" si="11"/>
        <v>3.3279999999999998</v>
      </c>
      <c r="P20" s="237">
        <f t="shared" si="12"/>
        <v>69.887999999999991</v>
      </c>
      <c r="Q20" s="237">
        <f t="shared" si="13"/>
        <v>559.10399999999993</v>
      </c>
      <c r="R20" s="237">
        <f t="shared" si="14"/>
        <v>3.48576</v>
      </c>
      <c r="S20" s="237">
        <f t="shared" si="14"/>
        <v>73.200959999999995</v>
      </c>
      <c r="T20" s="632">
        <f t="shared" si="14"/>
        <v>585.60767999999996</v>
      </c>
      <c r="U20" s="226"/>
      <c r="V20" s="226"/>
      <c r="W20" s="226"/>
      <c r="X20" s="226"/>
    </row>
    <row r="21" spans="1:24" s="231" customFormat="1" x14ac:dyDescent="0.25">
      <c r="A21" s="232" t="s">
        <v>200</v>
      </c>
      <c r="B21" s="233">
        <f t="shared" si="2"/>
        <v>237</v>
      </c>
      <c r="C21" s="233">
        <f t="shared" si="3"/>
        <v>56</v>
      </c>
      <c r="D21" s="233">
        <v>30</v>
      </c>
      <c r="E21" s="233">
        <v>26</v>
      </c>
      <c r="F21" s="233">
        <v>181</v>
      </c>
      <c r="G21" s="233">
        <f t="shared" si="4"/>
        <v>207</v>
      </c>
      <c r="H21" s="234">
        <v>104</v>
      </c>
      <c r="I21" s="233">
        <f t="shared" si="5"/>
        <v>2288</v>
      </c>
      <c r="J21" s="235">
        <f t="shared" si="6"/>
        <v>20592</v>
      </c>
      <c r="K21" s="236">
        <f t="shared" si="7"/>
        <v>39.44</v>
      </c>
      <c r="L21" s="237">
        <f t="shared" si="8"/>
        <v>1.1831999999999998</v>
      </c>
      <c r="M21" s="237">
        <f t="shared" si="9"/>
        <v>24.847199999999997</v>
      </c>
      <c r="N21" s="237">
        <f t="shared" si="10"/>
        <v>198.77759999999998</v>
      </c>
      <c r="O21" s="238">
        <f t="shared" si="11"/>
        <v>21.527999999999999</v>
      </c>
      <c r="P21" s="237">
        <f t="shared" si="12"/>
        <v>452.08799999999997</v>
      </c>
      <c r="Q21" s="237">
        <f t="shared" si="13"/>
        <v>3616.7039999999997</v>
      </c>
      <c r="R21" s="237">
        <f t="shared" si="14"/>
        <v>22.711199999999998</v>
      </c>
      <c r="S21" s="237">
        <f t="shared" si="14"/>
        <v>476.93519999999995</v>
      </c>
      <c r="T21" s="632">
        <f t="shared" si="14"/>
        <v>3815.4815999999996</v>
      </c>
      <c r="U21" s="226"/>
      <c r="V21" s="226"/>
      <c r="W21" s="226"/>
      <c r="X21" s="226"/>
    </row>
    <row r="22" spans="1:24" s="231" customFormat="1" x14ac:dyDescent="0.25">
      <c r="A22" s="232" t="s">
        <v>201</v>
      </c>
      <c r="B22" s="233">
        <f t="shared" si="2"/>
        <v>107</v>
      </c>
      <c r="C22" s="233">
        <f t="shared" si="3"/>
        <v>22</v>
      </c>
      <c r="D22" s="233">
        <v>14</v>
      </c>
      <c r="E22" s="233">
        <v>8</v>
      </c>
      <c r="F22" s="233">
        <v>85</v>
      </c>
      <c r="G22" s="233">
        <f t="shared" si="4"/>
        <v>93</v>
      </c>
      <c r="H22" s="234">
        <v>104</v>
      </c>
      <c r="I22" s="233">
        <f t="shared" si="5"/>
        <v>2288</v>
      </c>
      <c r="J22" s="235">
        <f t="shared" si="6"/>
        <v>20592</v>
      </c>
      <c r="K22" s="236">
        <f t="shared" si="7"/>
        <v>39.44</v>
      </c>
      <c r="L22" s="237">
        <f t="shared" si="8"/>
        <v>0.55215999999999998</v>
      </c>
      <c r="M22" s="237">
        <f t="shared" si="9"/>
        <v>11.595359999999999</v>
      </c>
      <c r="N22" s="237">
        <f t="shared" si="10"/>
        <v>92.762879999999996</v>
      </c>
      <c r="O22" s="238">
        <f t="shared" si="11"/>
        <v>9.6720000000000006</v>
      </c>
      <c r="P22" s="237">
        <f t="shared" si="12"/>
        <v>203.11200000000002</v>
      </c>
      <c r="Q22" s="237">
        <f t="shared" si="13"/>
        <v>1624.8960000000002</v>
      </c>
      <c r="R22" s="237">
        <f t="shared" si="14"/>
        <v>10.224160000000001</v>
      </c>
      <c r="S22" s="237">
        <f t="shared" si="14"/>
        <v>214.70736000000002</v>
      </c>
      <c r="T22" s="632">
        <f t="shared" si="14"/>
        <v>1717.6588800000002</v>
      </c>
      <c r="U22" s="226"/>
      <c r="V22" s="226"/>
      <c r="W22" s="226"/>
      <c r="X22" s="226"/>
    </row>
    <row r="23" spans="1:24" s="231" customFormat="1" x14ac:dyDescent="0.25">
      <c r="A23" s="232" t="s">
        <v>202</v>
      </c>
      <c r="B23" s="233">
        <f t="shared" si="2"/>
        <v>85</v>
      </c>
      <c r="C23" s="233">
        <f t="shared" si="3"/>
        <v>12</v>
      </c>
      <c r="D23" s="233">
        <v>6</v>
      </c>
      <c r="E23" s="233">
        <v>6</v>
      </c>
      <c r="F23" s="233">
        <v>73</v>
      </c>
      <c r="G23" s="233">
        <f t="shared" si="4"/>
        <v>79</v>
      </c>
      <c r="H23" s="234">
        <v>104</v>
      </c>
      <c r="I23" s="233">
        <f t="shared" si="5"/>
        <v>2288</v>
      </c>
      <c r="J23" s="235">
        <f t="shared" si="6"/>
        <v>20592</v>
      </c>
      <c r="K23" s="236">
        <f t="shared" si="7"/>
        <v>39.44</v>
      </c>
      <c r="L23" s="237">
        <f t="shared" si="8"/>
        <v>0.23663999999999999</v>
      </c>
      <c r="M23" s="237">
        <f t="shared" si="9"/>
        <v>4.9694399999999996</v>
      </c>
      <c r="N23" s="237">
        <f t="shared" si="10"/>
        <v>39.755519999999997</v>
      </c>
      <c r="O23" s="238">
        <f t="shared" si="11"/>
        <v>8.2159999999999993</v>
      </c>
      <c r="P23" s="237">
        <f t="shared" si="12"/>
        <v>172.53599999999997</v>
      </c>
      <c r="Q23" s="237">
        <f t="shared" si="13"/>
        <v>1380.2879999999998</v>
      </c>
      <c r="R23" s="237">
        <f t="shared" si="14"/>
        <v>8.4526399999999988</v>
      </c>
      <c r="S23" s="237">
        <f t="shared" si="14"/>
        <v>177.50543999999996</v>
      </c>
      <c r="T23" s="632">
        <f t="shared" si="14"/>
        <v>1420.0435199999997</v>
      </c>
      <c r="U23" s="226"/>
      <c r="V23" s="226"/>
      <c r="W23" s="226"/>
      <c r="X23" s="226"/>
    </row>
    <row r="24" spans="1:24" s="231" customFormat="1" ht="16.5" customHeight="1" x14ac:dyDescent="0.25">
      <c r="A24" s="232" t="s">
        <v>203</v>
      </c>
      <c r="B24" s="233">
        <f t="shared" si="2"/>
        <v>69</v>
      </c>
      <c r="C24" s="233">
        <f t="shared" si="3"/>
        <v>13</v>
      </c>
      <c r="D24" s="233">
        <v>7</v>
      </c>
      <c r="E24" s="233">
        <v>6</v>
      </c>
      <c r="F24" s="233">
        <v>56</v>
      </c>
      <c r="G24" s="233">
        <f t="shared" si="4"/>
        <v>62</v>
      </c>
      <c r="H24" s="234">
        <v>104</v>
      </c>
      <c r="I24" s="233">
        <f t="shared" si="5"/>
        <v>2288</v>
      </c>
      <c r="J24" s="235">
        <f t="shared" si="6"/>
        <v>20592</v>
      </c>
      <c r="K24" s="236">
        <f t="shared" si="7"/>
        <v>39.44</v>
      </c>
      <c r="L24" s="237">
        <f t="shared" si="8"/>
        <v>0.27607999999999999</v>
      </c>
      <c r="M24" s="237">
        <f t="shared" si="9"/>
        <v>5.7976799999999997</v>
      </c>
      <c r="N24" s="237">
        <f t="shared" si="10"/>
        <v>46.381439999999998</v>
      </c>
      <c r="O24" s="238">
        <f t="shared" si="11"/>
        <v>6.4480000000000004</v>
      </c>
      <c r="P24" s="237">
        <f t="shared" si="12"/>
        <v>135.40800000000002</v>
      </c>
      <c r="Q24" s="237">
        <f t="shared" si="13"/>
        <v>1083.2640000000001</v>
      </c>
      <c r="R24" s="237">
        <f t="shared" si="14"/>
        <v>6.7240800000000007</v>
      </c>
      <c r="S24" s="237">
        <f t="shared" si="14"/>
        <v>141.20568000000003</v>
      </c>
      <c r="T24" s="632">
        <f t="shared" si="14"/>
        <v>1129.6454400000002</v>
      </c>
      <c r="U24" s="226"/>
      <c r="V24" s="226"/>
      <c r="W24" s="226"/>
      <c r="X24" s="226"/>
    </row>
    <row r="25" spans="1:24" s="231" customFormat="1" x14ac:dyDescent="0.25">
      <c r="A25" s="232" t="s">
        <v>204</v>
      </c>
      <c r="B25" s="233">
        <f t="shared" si="2"/>
        <v>24</v>
      </c>
      <c r="C25" s="233">
        <f t="shared" si="3"/>
        <v>6</v>
      </c>
      <c r="D25" s="233">
        <v>5</v>
      </c>
      <c r="E25" s="233">
        <v>1</v>
      </c>
      <c r="F25" s="233">
        <v>18</v>
      </c>
      <c r="G25" s="233">
        <f t="shared" si="4"/>
        <v>19</v>
      </c>
      <c r="H25" s="234">
        <v>104</v>
      </c>
      <c r="I25" s="233">
        <f t="shared" si="5"/>
        <v>2288</v>
      </c>
      <c r="J25" s="235">
        <f t="shared" si="6"/>
        <v>20592</v>
      </c>
      <c r="K25" s="236">
        <f t="shared" si="7"/>
        <v>39.44</v>
      </c>
      <c r="L25" s="237">
        <f t="shared" si="8"/>
        <v>0.19719999999999999</v>
      </c>
      <c r="M25" s="237">
        <f t="shared" si="9"/>
        <v>4.1411999999999995</v>
      </c>
      <c r="N25" s="237">
        <f t="shared" si="10"/>
        <v>33.129599999999996</v>
      </c>
      <c r="O25" s="238">
        <f t="shared" si="11"/>
        <v>1.976</v>
      </c>
      <c r="P25" s="237">
        <f t="shared" si="12"/>
        <v>41.496000000000002</v>
      </c>
      <c r="Q25" s="237">
        <f t="shared" si="13"/>
        <v>331.96800000000002</v>
      </c>
      <c r="R25" s="237">
        <f t="shared" si="14"/>
        <v>2.1732</v>
      </c>
      <c r="S25" s="237">
        <f t="shared" si="14"/>
        <v>45.6372</v>
      </c>
      <c r="T25" s="632">
        <f t="shared" si="14"/>
        <v>365.0976</v>
      </c>
      <c r="U25" s="226"/>
      <c r="V25" s="226"/>
      <c r="W25" s="226"/>
      <c r="X25" s="226"/>
    </row>
    <row r="26" spans="1:24" s="231" customFormat="1" ht="15" customHeight="1" x14ac:dyDescent="0.25">
      <c r="A26" s="232" t="s">
        <v>205</v>
      </c>
      <c r="B26" s="233">
        <f t="shared" si="2"/>
        <v>1582</v>
      </c>
      <c r="C26" s="233">
        <f t="shared" si="3"/>
        <v>531</v>
      </c>
      <c r="D26" s="233">
        <v>441</v>
      </c>
      <c r="E26" s="233">
        <v>90</v>
      </c>
      <c r="F26" s="233">
        <v>1051</v>
      </c>
      <c r="G26" s="233">
        <f t="shared" si="4"/>
        <v>1141</v>
      </c>
      <c r="H26" s="234">
        <v>104</v>
      </c>
      <c r="I26" s="233">
        <f t="shared" si="5"/>
        <v>2288</v>
      </c>
      <c r="J26" s="235">
        <f t="shared" si="6"/>
        <v>20592</v>
      </c>
      <c r="K26" s="236">
        <f t="shared" si="7"/>
        <v>39.44</v>
      </c>
      <c r="L26" s="237">
        <f t="shared" si="8"/>
        <v>17.393039999999996</v>
      </c>
      <c r="M26" s="237">
        <f t="shared" si="9"/>
        <v>365.25383999999991</v>
      </c>
      <c r="N26" s="237">
        <f t="shared" si="10"/>
        <v>2922.0307199999993</v>
      </c>
      <c r="O26" s="238">
        <f t="shared" si="11"/>
        <v>118.664</v>
      </c>
      <c r="P26" s="237">
        <f t="shared" si="12"/>
        <v>2491.944</v>
      </c>
      <c r="Q26" s="237">
        <f t="shared" si="13"/>
        <v>19935.552</v>
      </c>
      <c r="R26" s="237">
        <f t="shared" si="14"/>
        <v>136.05704</v>
      </c>
      <c r="S26" s="237">
        <f t="shared" si="14"/>
        <v>2857.1978399999998</v>
      </c>
      <c r="T26" s="632">
        <f t="shared" si="14"/>
        <v>22857.582719999999</v>
      </c>
      <c r="U26" s="226"/>
      <c r="V26" s="226"/>
      <c r="W26" s="226"/>
      <c r="X26" s="226"/>
    </row>
    <row r="27" spans="1:24" s="231" customFormat="1" ht="17.25" customHeight="1" x14ac:dyDescent="0.25">
      <c r="A27" s="232" t="s">
        <v>206</v>
      </c>
      <c r="B27" s="233">
        <f t="shared" si="2"/>
        <v>75</v>
      </c>
      <c r="C27" s="233">
        <f t="shared" si="3"/>
        <v>14</v>
      </c>
      <c r="D27" s="233">
        <v>4</v>
      </c>
      <c r="E27" s="233">
        <v>10</v>
      </c>
      <c r="F27" s="233">
        <v>61</v>
      </c>
      <c r="G27" s="233">
        <f t="shared" si="4"/>
        <v>71</v>
      </c>
      <c r="H27" s="234">
        <v>104</v>
      </c>
      <c r="I27" s="233">
        <f t="shared" si="5"/>
        <v>2288</v>
      </c>
      <c r="J27" s="235">
        <f t="shared" si="6"/>
        <v>20592</v>
      </c>
      <c r="K27" s="236">
        <f t="shared" si="7"/>
        <v>39.44</v>
      </c>
      <c r="L27" s="237">
        <f t="shared" si="8"/>
        <v>0.15775999999999998</v>
      </c>
      <c r="M27" s="237">
        <f t="shared" si="9"/>
        <v>3.3129599999999995</v>
      </c>
      <c r="N27" s="237">
        <f t="shared" si="10"/>
        <v>26.503679999999996</v>
      </c>
      <c r="O27" s="238">
        <f t="shared" si="11"/>
        <v>7.3840000000000003</v>
      </c>
      <c r="P27" s="237">
        <f t="shared" si="12"/>
        <v>155.06400000000002</v>
      </c>
      <c r="Q27" s="237">
        <f t="shared" si="13"/>
        <v>1240.5120000000002</v>
      </c>
      <c r="R27" s="237">
        <f t="shared" si="14"/>
        <v>7.54176</v>
      </c>
      <c r="S27" s="237">
        <f t="shared" si="14"/>
        <v>158.37696000000003</v>
      </c>
      <c r="T27" s="632">
        <f t="shared" si="14"/>
        <v>1267.0156800000002</v>
      </c>
      <c r="U27" s="226"/>
      <c r="V27" s="226"/>
      <c r="W27" s="226"/>
      <c r="X27" s="226"/>
    </row>
  </sheetData>
  <mergeCells count="24">
    <mergeCell ref="L5:L7"/>
    <mergeCell ref="A1:T1"/>
    <mergeCell ref="A3:A7"/>
    <mergeCell ref="B3:G3"/>
    <mergeCell ref="H3:H7"/>
    <mergeCell ref="I3:I7"/>
    <mergeCell ref="J3:J7"/>
    <mergeCell ref="K3:N4"/>
    <mergeCell ref="O3:Q4"/>
    <mergeCell ref="R3:T4"/>
    <mergeCell ref="B4:G4"/>
    <mergeCell ref="B5:B7"/>
    <mergeCell ref="C5:E6"/>
    <mergeCell ref="F5:F7"/>
    <mergeCell ref="G5:G7"/>
    <mergeCell ref="K5:K7"/>
    <mergeCell ref="S5:S7"/>
    <mergeCell ref="T5:T7"/>
    <mergeCell ref="M5:M7"/>
    <mergeCell ref="N5:N7"/>
    <mergeCell ref="O5:O7"/>
    <mergeCell ref="P5:P7"/>
    <mergeCell ref="Q5:Q7"/>
    <mergeCell ref="R5:R7"/>
  </mergeCells>
  <pageMargins left="0.51181102362204722" right="0.51181102362204722" top="0.74803149606299213" bottom="0.74803149606299213" header="0.31496062992125984" footer="0.31496062992125984"/>
  <pageSetup paperSize="9" scale="61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rgb="FFFFFF00"/>
    <pageSetUpPr fitToPage="1"/>
  </sheetPr>
  <dimension ref="A1:AH36"/>
  <sheetViews>
    <sheetView view="pageBreakPreview" zoomScale="70" zoomScaleNormal="100" zoomScaleSheetLayoutView="70" workbookViewId="0">
      <pane xSplit="2" ySplit="3" topLeftCell="C10" activePane="bottomRight" state="frozen"/>
      <selection activeCell="P16" sqref="P16"/>
      <selection pane="topRight" activeCell="P16" sqref="P16"/>
      <selection pane="bottomLeft" activeCell="P16" sqref="P16"/>
      <selection pane="bottomRight" activeCell="AB34" activeCellId="2" sqref="AB28 AB29 AB34"/>
    </sheetView>
  </sheetViews>
  <sheetFormatPr defaultRowHeight="12.75" x14ac:dyDescent="0.2"/>
  <cols>
    <col min="1" max="1" width="4.42578125" style="245" customWidth="1"/>
    <col min="2" max="2" width="19.7109375" style="245" customWidth="1"/>
    <col min="3" max="3" width="14.85546875" style="245" customWidth="1"/>
    <col min="4" max="4" width="13.140625" style="245" hidden="1" customWidth="1"/>
    <col min="5" max="5" width="12.140625" style="245" hidden="1" customWidth="1"/>
    <col min="6" max="6" width="12.5703125" style="245" hidden="1" customWidth="1"/>
    <col min="7" max="7" width="14.85546875" style="245" customWidth="1"/>
    <col min="8" max="8" width="16.140625" style="245" customWidth="1"/>
    <col min="9" max="9" width="16.5703125" style="245" customWidth="1"/>
    <col min="10" max="10" width="16.7109375" style="245" customWidth="1"/>
    <col min="11" max="11" width="15.28515625" style="245" customWidth="1"/>
    <col min="12" max="12" width="12.42578125" style="245" hidden="1" customWidth="1"/>
    <col min="13" max="13" width="12.28515625" style="245" hidden="1" customWidth="1"/>
    <col min="14" max="14" width="11.7109375" style="245" hidden="1" customWidth="1"/>
    <col min="15" max="15" width="13.7109375" style="245" customWidth="1"/>
    <col min="16" max="16" width="14" style="245" customWidth="1"/>
    <col min="17" max="17" width="15" style="245" customWidth="1"/>
    <col min="18" max="19" width="16.140625" style="245" customWidth="1"/>
    <col min="20" max="21" width="0" style="245" hidden="1" customWidth="1"/>
    <col min="22" max="22" width="13" style="245" customWidth="1"/>
    <col min="23" max="23" width="13.140625" style="245" customWidth="1"/>
    <col min="24" max="24" width="14.7109375" style="245" customWidth="1"/>
    <col min="25" max="25" width="17.7109375" style="245" customWidth="1"/>
    <col min="26" max="26" width="15.5703125" style="245" customWidth="1"/>
    <col min="27" max="27" width="16.5703125" style="245" customWidth="1"/>
    <col min="28" max="28" width="19.42578125" style="245" customWidth="1"/>
    <col min="29" max="29" width="17.85546875" style="245" customWidth="1"/>
    <col min="30" max="32" width="9.140625" style="245"/>
    <col min="33" max="16384" width="9.140625" style="246"/>
  </cols>
  <sheetData>
    <row r="1" spans="1:34" ht="32.25" customHeight="1" x14ac:dyDescent="0.2">
      <c r="C1" s="746" t="s">
        <v>390</v>
      </c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</row>
    <row r="2" spans="1:34" ht="39" customHeight="1" x14ac:dyDescent="0.2">
      <c r="A2" s="747" t="s">
        <v>208</v>
      </c>
      <c r="B2" s="747" t="s">
        <v>209</v>
      </c>
      <c r="C2" s="745" t="s">
        <v>210</v>
      </c>
      <c r="D2" s="745"/>
      <c r="E2" s="745"/>
      <c r="F2" s="745"/>
      <c r="G2" s="745"/>
      <c r="H2" s="745"/>
      <c r="I2" s="745"/>
      <c r="J2" s="745"/>
      <c r="K2" s="745" t="s">
        <v>211</v>
      </c>
      <c r="L2" s="745"/>
      <c r="M2" s="745"/>
      <c r="N2" s="745"/>
      <c r="O2" s="745"/>
      <c r="P2" s="745"/>
      <c r="Q2" s="745"/>
      <c r="R2" s="745"/>
      <c r="S2" s="745" t="s">
        <v>212</v>
      </c>
      <c r="T2" s="745"/>
      <c r="U2" s="745"/>
      <c r="V2" s="745"/>
      <c r="W2" s="745"/>
      <c r="X2" s="745"/>
      <c r="Y2" s="745"/>
      <c r="Z2" s="745" t="s">
        <v>213</v>
      </c>
      <c r="AA2" s="745" t="s">
        <v>214</v>
      </c>
      <c r="AB2" s="745" t="s">
        <v>215</v>
      </c>
      <c r="AC2" s="745" t="s">
        <v>216</v>
      </c>
    </row>
    <row r="3" spans="1:34" ht="78.75" customHeight="1" x14ac:dyDescent="0.2">
      <c r="A3" s="747"/>
      <c r="B3" s="747"/>
      <c r="C3" s="247" t="s">
        <v>217</v>
      </c>
      <c r="D3" s="247" t="s">
        <v>218</v>
      </c>
      <c r="E3" s="247" t="s">
        <v>219</v>
      </c>
      <c r="F3" s="247" t="s">
        <v>220</v>
      </c>
      <c r="G3" s="247" t="s">
        <v>221</v>
      </c>
      <c r="H3" s="247" t="s">
        <v>222</v>
      </c>
      <c r="I3" s="247" t="s">
        <v>223</v>
      </c>
      <c r="J3" s="248" t="s">
        <v>224</v>
      </c>
      <c r="K3" s="247" t="s">
        <v>217</v>
      </c>
      <c r="L3" s="247" t="s">
        <v>218</v>
      </c>
      <c r="M3" s="247" t="s">
        <v>219</v>
      </c>
      <c r="N3" s="247" t="s">
        <v>220</v>
      </c>
      <c r="O3" s="247" t="s">
        <v>225</v>
      </c>
      <c r="P3" s="247" t="s">
        <v>226</v>
      </c>
      <c r="Q3" s="247" t="s">
        <v>227</v>
      </c>
      <c r="R3" s="248" t="s">
        <v>228</v>
      </c>
      <c r="S3" s="247" t="s">
        <v>229</v>
      </c>
      <c r="T3" s="247" t="s">
        <v>230</v>
      </c>
      <c r="U3" s="247" t="s">
        <v>231</v>
      </c>
      <c r="V3" s="247" t="s">
        <v>232</v>
      </c>
      <c r="W3" s="247" t="s">
        <v>233</v>
      </c>
      <c r="X3" s="247" t="s">
        <v>234</v>
      </c>
      <c r="Y3" s="249" t="s">
        <v>235</v>
      </c>
      <c r="Z3" s="745"/>
      <c r="AA3" s="745"/>
      <c r="AB3" s="745"/>
      <c r="AC3" s="745"/>
    </row>
    <row r="4" spans="1:34" ht="23.45" customHeight="1" x14ac:dyDescent="0.2">
      <c r="A4" s="250">
        <v>1</v>
      </c>
      <c r="B4" s="251" t="s">
        <v>236</v>
      </c>
      <c r="C4" s="252">
        <v>382.6</v>
      </c>
      <c r="D4" s="252"/>
      <c r="E4" s="252"/>
      <c r="F4" s="252"/>
      <c r="G4" s="253">
        <v>2.1419999999999999</v>
      </c>
      <c r="H4" s="254">
        <f>2985.6*1.04</f>
        <v>3105.0239999999999</v>
      </c>
      <c r="I4" s="255">
        <f>+G4*H4</f>
        <v>6650.9614079999992</v>
      </c>
      <c r="J4" s="256">
        <f>I4*C4/1000</f>
        <v>2544.6578347007999</v>
      </c>
      <c r="K4" s="257"/>
      <c r="L4" s="257"/>
      <c r="M4" s="257"/>
      <c r="N4" s="257"/>
      <c r="O4" s="258"/>
      <c r="P4" s="259"/>
      <c r="Q4" s="259"/>
      <c r="R4" s="260"/>
      <c r="S4" s="261">
        <v>37.6</v>
      </c>
      <c r="T4" s="262"/>
      <c r="U4" s="262"/>
      <c r="V4" s="262">
        <v>2.5499999999999998</v>
      </c>
      <c r="W4" s="263">
        <f>V4*1.05</f>
        <v>2.6774999999999998</v>
      </c>
      <c r="X4" s="264">
        <f>(S4*V4*6)+(S4*W4*6)</f>
        <v>1179.3240000000001</v>
      </c>
      <c r="Y4" s="256">
        <f>Z4*X4/1000</f>
        <v>451.20936240000003</v>
      </c>
      <c r="Z4" s="252">
        <f>+C4+K4</f>
        <v>382.6</v>
      </c>
      <c r="AA4" s="265">
        <f>SUM(J4+R4+Y4)</f>
        <v>2995.8671971007998</v>
      </c>
      <c r="AB4" s="266">
        <f>AA4/2</f>
        <v>1497.9335985503999</v>
      </c>
      <c r="AC4" s="267">
        <f>AB4/Z4/12*1000</f>
        <v>326.26189199999993</v>
      </c>
    </row>
    <row r="5" spans="1:34" ht="23.45" customHeight="1" x14ac:dyDescent="0.2">
      <c r="A5" s="250">
        <v>2</v>
      </c>
      <c r="B5" s="251" t="s">
        <v>237</v>
      </c>
      <c r="C5" s="252">
        <v>433.52</v>
      </c>
      <c r="D5" s="252"/>
      <c r="E5" s="252"/>
      <c r="F5" s="252"/>
      <c r="G5" s="253">
        <v>2.1419999999999999</v>
      </c>
      <c r="H5" s="254">
        <f t="shared" ref="H5:H33" si="0">2985.6*1.04</f>
        <v>3105.0239999999999</v>
      </c>
      <c r="I5" s="255">
        <f t="shared" ref="I5:I19" si="1">+G5*H5</f>
        <v>6650.9614079999992</v>
      </c>
      <c r="J5" s="256">
        <f t="shared" ref="J5:J19" si="2">I5*C5/1000</f>
        <v>2883.3247895961595</v>
      </c>
      <c r="K5" s="257"/>
      <c r="L5" s="257"/>
      <c r="M5" s="257"/>
      <c r="N5" s="257"/>
      <c r="O5" s="258"/>
      <c r="P5" s="259"/>
      <c r="Q5" s="259"/>
      <c r="R5" s="260"/>
      <c r="S5" s="261">
        <v>37.6</v>
      </c>
      <c r="T5" s="262"/>
      <c r="U5" s="262"/>
      <c r="V5" s="262">
        <v>2.5499999999999998</v>
      </c>
      <c r="W5" s="263">
        <f t="shared" ref="W5:W20" si="3">V5*1.05</f>
        <v>2.6774999999999998</v>
      </c>
      <c r="X5" s="264">
        <f t="shared" ref="X5:X20" si="4">(S5*V5*6)+(S5*W5*6)</f>
        <v>1179.3240000000001</v>
      </c>
      <c r="Y5" s="256">
        <f t="shared" ref="Y5:Y20" si="5">Z5*X5/1000</f>
        <v>511.26054048000003</v>
      </c>
      <c r="Z5" s="252">
        <f t="shared" ref="Z5:Z19" si="6">+C5+K5</f>
        <v>433.52</v>
      </c>
      <c r="AA5" s="265">
        <f t="shared" ref="AA5:AA20" si="7">SUM(J5+R5+Y5)</f>
        <v>3394.5853300761596</v>
      </c>
      <c r="AB5" s="266">
        <f>AA5/2</f>
        <v>1697.2926650380798</v>
      </c>
      <c r="AC5" s="267">
        <f t="shared" ref="AC5:AC20" si="8">AB5/Z5/12*1000</f>
        <v>326.26189199999993</v>
      </c>
    </row>
    <row r="6" spans="1:34" ht="23.45" customHeight="1" x14ac:dyDescent="0.2">
      <c r="A6" s="250">
        <v>3</v>
      </c>
      <c r="B6" s="251" t="s">
        <v>238</v>
      </c>
      <c r="C6" s="252">
        <v>734.8</v>
      </c>
      <c r="D6" s="252"/>
      <c r="E6" s="252"/>
      <c r="F6" s="252"/>
      <c r="G6" s="253">
        <v>2.1419999999999999</v>
      </c>
      <c r="H6" s="254">
        <f t="shared" si="0"/>
        <v>3105.0239999999999</v>
      </c>
      <c r="I6" s="255">
        <f t="shared" si="1"/>
        <v>6650.9614079999992</v>
      </c>
      <c r="J6" s="256">
        <f t="shared" si="2"/>
        <v>4887.1264425983991</v>
      </c>
      <c r="K6" s="257"/>
      <c r="L6" s="257"/>
      <c r="M6" s="257"/>
      <c r="N6" s="257"/>
      <c r="O6" s="258"/>
      <c r="P6" s="259"/>
      <c r="Q6" s="259"/>
      <c r="R6" s="260"/>
      <c r="S6" s="261">
        <v>37.6</v>
      </c>
      <c r="T6" s="262"/>
      <c r="U6" s="262"/>
      <c r="V6" s="262">
        <v>2.5499999999999998</v>
      </c>
      <c r="W6" s="263">
        <f t="shared" si="3"/>
        <v>2.6774999999999998</v>
      </c>
      <c r="X6" s="264">
        <f t="shared" si="4"/>
        <v>1179.3240000000001</v>
      </c>
      <c r="Y6" s="256">
        <f t="shared" si="5"/>
        <v>866.56727520000004</v>
      </c>
      <c r="Z6" s="252">
        <f t="shared" si="6"/>
        <v>734.8</v>
      </c>
      <c r="AA6" s="265">
        <f t="shared" si="7"/>
        <v>5753.6937177983991</v>
      </c>
      <c r="AB6" s="266">
        <f t="shared" ref="AB6:AB20" si="9">AA6/2</f>
        <v>2876.8468588991996</v>
      </c>
      <c r="AC6" s="267">
        <f t="shared" si="8"/>
        <v>326.26189199999993</v>
      </c>
    </row>
    <row r="7" spans="1:34" ht="23.45" customHeight="1" x14ac:dyDescent="0.2">
      <c r="A7" s="250">
        <v>4</v>
      </c>
      <c r="B7" s="251" t="s">
        <v>239</v>
      </c>
      <c r="C7" s="252">
        <v>491.6</v>
      </c>
      <c r="D7" s="252"/>
      <c r="E7" s="252"/>
      <c r="F7" s="252"/>
      <c r="G7" s="253">
        <v>2.1419999999999999</v>
      </c>
      <c r="H7" s="254">
        <f t="shared" si="0"/>
        <v>3105.0239999999999</v>
      </c>
      <c r="I7" s="255">
        <f t="shared" si="1"/>
        <v>6650.9614079999992</v>
      </c>
      <c r="J7" s="256">
        <f t="shared" si="2"/>
        <v>3269.6126281727998</v>
      </c>
      <c r="K7" s="257"/>
      <c r="L7" s="257"/>
      <c r="M7" s="257"/>
      <c r="N7" s="257"/>
      <c r="O7" s="258"/>
      <c r="P7" s="259"/>
      <c r="Q7" s="259"/>
      <c r="R7" s="260"/>
      <c r="S7" s="261">
        <v>37.6</v>
      </c>
      <c r="T7" s="262"/>
      <c r="U7" s="262"/>
      <c r="V7" s="262">
        <v>2.5499999999999998</v>
      </c>
      <c r="W7" s="263">
        <f t="shared" si="3"/>
        <v>2.6774999999999998</v>
      </c>
      <c r="X7" s="264">
        <f t="shared" si="4"/>
        <v>1179.3240000000001</v>
      </c>
      <c r="Y7" s="256">
        <f t="shared" si="5"/>
        <v>579.75567840000008</v>
      </c>
      <c r="Z7" s="252">
        <f t="shared" si="6"/>
        <v>491.6</v>
      </c>
      <c r="AA7" s="265">
        <f t="shared" si="7"/>
        <v>3849.3683065728001</v>
      </c>
      <c r="AB7" s="266">
        <f t="shared" si="9"/>
        <v>1924.6841532864</v>
      </c>
      <c r="AC7" s="267">
        <f t="shared" si="8"/>
        <v>326.26189199999999</v>
      </c>
    </row>
    <row r="8" spans="1:34" ht="23.45" customHeight="1" x14ac:dyDescent="0.2">
      <c r="A8" s="250">
        <v>5</v>
      </c>
      <c r="B8" s="251" t="s">
        <v>240</v>
      </c>
      <c r="C8" s="252">
        <v>867.6</v>
      </c>
      <c r="D8" s="252"/>
      <c r="E8" s="252"/>
      <c r="F8" s="252"/>
      <c r="G8" s="253">
        <v>2.1419999999999999</v>
      </c>
      <c r="H8" s="254">
        <f t="shared" si="0"/>
        <v>3105.0239999999999</v>
      </c>
      <c r="I8" s="255">
        <f t="shared" si="1"/>
        <v>6650.9614079999992</v>
      </c>
      <c r="J8" s="256">
        <f t="shared" si="2"/>
        <v>5770.3741175807991</v>
      </c>
      <c r="K8" s="257"/>
      <c r="L8" s="257"/>
      <c r="M8" s="257"/>
      <c r="N8" s="257"/>
      <c r="O8" s="258"/>
      <c r="P8" s="259"/>
      <c r="Q8" s="259"/>
      <c r="R8" s="260"/>
      <c r="S8" s="261">
        <v>37.6</v>
      </c>
      <c r="T8" s="262"/>
      <c r="U8" s="262"/>
      <c r="V8" s="262">
        <v>2.5499999999999998</v>
      </c>
      <c r="W8" s="263">
        <f t="shared" si="3"/>
        <v>2.6774999999999998</v>
      </c>
      <c r="X8" s="264">
        <f t="shared" si="4"/>
        <v>1179.3240000000001</v>
      </c>
      <c r="Y8" s="256">
        <f t="shared" si="5"/>
        <v>1023.1815024000001</v>
      </c>
      <c r="Z8" s="252">
        <f t="shared" si="6"/>
        <v>867.6</v>
      </c>
      <c r="AA8" s="265">
        <f t="shared" si="7"/>
        <v>6793.5556199807988</v>
      </c>
      <c r="AB8" s="266">
        <f t="shared" si="9"/>
        <v>3396.7778099903994</v>
      </c>
      <c r="AC8" s="267">
        <f t="shared" si="8"/>
        <v>326.26189199999993</v>
      </c>
    </row>
    <row r="9" spans="1:34" ht="23.45" customHeight="1" x14ac:dyDescent="0.2">
      <c r="A9" s="250">
        <v>6</v>
      </c>
      <c r="B9" s="251" t="s">
        <v>241</v>
      </c>
      <c r="C9" s="252">
        <v>215</v>
      </c>
      <c r="D9" s="252"/>
      <c r="E9" s="252"/>
      <c r="F9" s="252"/>
      <c r="G9" s="253">
        <v>2.1419999999999999</v>
      </c>
      <c r="H9" s="254">
        <f t="shared" si="0"/>
        <v>3105.0239999999999</v>
      </c>
      <c r="I9" s="255">
        <f t="shared" si="1"/>
        <v>6650.9614079999992</v>
      </c>
      <c r="J9" s="256">
        <f t="shared" si="2"/>
        <v>1429.9567027199998</v>
      </c>
      <c r="K9" s="257"/>
      <c r="L9" s="257"/>
      <c r="M9" s="257"/>
      <c r="N9" s="257"/>
      <c r="O9" s="258"/>
      <c r="P9" s="259"/>
      <c r="Q9" s="259"/>
      <c r="R9" s="260"/>
      <c r="S9" s="261">
        <v>37.6</v>
      </c>
      <c r="T9" s="262"/>
      <c r="U9" s="262"/>
      <c r="V9" s="262">
        <v>2.5499999999999998</v>
      </c>
      <c r="W9" s="263">
        <f t="shared" si="3"/>
        <v>2.6774999999999998</v>
      </c>
      <c r="X9" s="264">
        <f t="shared" si="4"/>
        <v>1179.3240000000001</v>
      </c>
      <c r="Y9" s="256">
        <f t="shared" si="5"/>
        <v>253.55466000000001</v>
      </c>
      <c r="Z9" s="252">
        <f t="shared" si="6"/>
        <v>215</v>
      </c>
      <c r="AA9" s="265">
        <f t="shared" si="7"/>
        <v>1683.5113627199999</v>
      </c>
      <c r="AB9" s="266">
        <f t="shared" si="9"/>
        <v>841.75568135999993</v>
      </c>
      <c r="AC9" s="267">
        <f t="shared" si="8"/>
        <v>326.26189199999993</v>
      </c>
    </row>
    <row r="10" spans="1:34" ht="23.45" customHeight="1" x14ac:dyDescent="0.2">
      <c r="A10" s="250">
        <v>7</v>
      </c>
      <c r="B10" s="251" t="s">
        <v>242</v>
      </c>
      <c r="C10" s="252">
        <v>256</v>
      </c>
      <c r="D10" s="252"/>
      <c r="E10" s="252"/>
      <c r="F10" s="252"/>
      <c r="G10" s="253">
        <v>2.1419999999999999</v>
      </c>
      <c r="H10" s="254">
        <f t="shared" si="0"/>
        <v>3105.0239999999999</v>
      </c>
      <c r="I10" s="255">
        <f>+G10*H10</f>
        <v>6650.9614079999992</v>
      </c>
      <c r="J10" s="256">
        <f t="shared" si="2"/>
        <v>1702.6461204479997</v>
      </c>
      <c r="K10" s="257"/>
      <c r="L10" s="257"/>
      <c r="M10" s="257"/>
      <c r="N10" s="257"/>
      <c r="O10" s="258"/>
      <c r="P10" s="259"/>
      <c r="Q10" s="259"/>
      <c r="R10" s="260"/>
      <c r="S10" s="261">
        <v>37.6</v>
      </c>
      <c r="T10" s="262"/>
      <c r="U10" s="262"/>
      <c r="V10" s="262">
        <v>2.5499999999999998</v>
      </c>
      <c r="W10" s="263">
        <f t="shared" si="3"/>
        <v>2.6774999999999998</v>
      </c>
      <c r="X10" s="264">
        <f t="shared" si="4"/>
        <v>1179.3240000000001</v>
      </c>
      <c r="Y10" s="256">
        <f t="shared" si="5"/>
        <v>301.90694400000001</v>
      </c>
      <c r="Z10" s="252">
        <f t="shared" si="6"/>
        <v>256</v>
      </c>
      <c r="AA10" s="265">
        <f t="shared" si="7"/>
        <v>2004.5530644479998</v>
      </c>
      <c r="AB10" s="266">
        <f t="shared" si="9"/>
        <v>1002.2765322239999</v>
      </c>
      <c r="AC10" s="267">
        <f t="shared" si="8"/>
        <v>326.26189199999993</v>
      </c>
    </row>
    <row r="11" spans="1:34" ht="23.45" customHeight="1" x14ac:dyDescent="0.2">
      <c r="A11" s="250">
        <v>8</v>
      </c>
      <c r="B11" s="251" t="s">
        <v>243</v>
      </c>
      <c r="C11" s="252">
        <v>307.8</v>
      </c>
      <c r="D11" s="252"/>
      <c r="E11" s="252"/>
      <c r="F11" s="252"/>
      <c r="G11" s="253">
        <v>2.1419999999999999</v>
      </c>
      <c r="H11" s="254">
        <f t="shared" si="0"/>
        <v>3105.0239999999999</v>
      </c>
      <c r="I11" s="255">
        <f t="shared" si="1"/>
        <v>6650.9614079999992</v>
      </c>
      <c r="J11" s="256">
        <f t="shared" si="2"/>
        <v>2047.1659213823998</v>
      </c>
      <c r="K11" s="257"/>
      <c r="L11" s="257"/>
      <c r="M11" s="257"/>
      <c r="N11" s="257"/>
      <c r="O11" s="258"/>
      <c r="P11" s="259"/>
      <c r="Q11" s="259"/>
      <c r="R11" s="260"/>
      <c r="S11" s="261">
        <v>37.6</v>
      </c>
      <c r="T11" s="262"/>
      <c r="U11" s="262"/>
      <c r="V11" s="262">
        <v>2.5499999999999998</v>
      </c>
      <c r="W11" s="263">
        <f t="shared" si="3"/>
        <v>2.6774999999999998</v>
      </c>
      <c r="X11" s="264">
        <f t="shared" si="4"/>
        <v>1179.3240000000001</v>
      </c>
      <c r="Y11" s="256">
        <f t="shared" si="5"/>
        <v>362.99592720000004</v>
      </c>
      <c r="Z11" s="252">
        <f t="shared" si="6"/>
        <v>307.8</v>
      </c>
      <c r="AA11" s="265">
        <f t="shared" si="7"/>
        <v>2410.1618485823997</v>
      </c>
      <c r="AB11" s="266">
        <f t="shared" si="9"/>
        <v>1205.0809242911998</v>
      </c>
      <c r="AC11" s="267">
        <f t="shared" si="8"/>
        <v>326.26189199999993</v>
      </c>
    </row>
    <row r="12" spans="1:34" ht="23.45" customHeight="1" x14ac:dyDescent="0.2">
      <c r="A12" s="250">
        <v>9</v>
      </c>
      <c r="B12" s="251" t="s">
        <v>244</v>
      </c>
      <c r="C12" s="252">
        <v>370.4</v>
      </c>
      <c r="D12" s="252"/>
      <c r="E12" s="252"/>
      <c r="F12" s="252"/>
      <c r="G12" s="253">
        <v>2.1419999999999999</v>
      </c>
      <c r="H12" s="254">
        <f t="shared" si="0"/>
        <v>3105.0239999999999</v>
      </c>
      <c r="I12" s="255">
        <f t="shared" si="1"/>
        <v>6650.9614079999992</v>
      </c>
      <c r="J12" s="256">
        <f t="shared" si="2"/>
        <v>2463.5161055231997</v>
      </c>
      <c r="K12" s="257"/>
      <c r="L12" s="257"/>
      <c r="M12" s="257"/>
      <c r="N12" s="257"/>
      <c r="O12" s="258"/>
      <c r="P12" s="259"/>
      <c r="Q12" s="259"/>
      <c r="R12" s="260"/>
      <c r="S12" s="261">
        <v>37.6</v>
      </c>
      <c r="T12" s="262"/>
      <c r="U12" s="262"/>
      <c r="V12" s="262">
        <v>2.5499999999999998</v>
      </c>
      <c r="W12" s="263">
        <f t="shared" si="3"/>
        <v>2.6774999999999998</v>
      </c>
      <c r="X12" s="264">
        <f t="shared" si="4"/>
        <v>1179.3240000000001</v>
      </c>
      <c r="Y12" s="256">
        <f t="shared" si="5"/>
        <v>436.82160960000004</v>
      </c>
      <c r="Z12" s="252">
        <f t="shared" si="6"/>
        <v>370.4</v>
      </c>
      <c r="AA12" s="265">
        <f t="shared" si="7"/>
        <v>2900.3377151231998</v>
      </c>
      <c r="AB12" s="266">
        <f t="shared" si="9"/>
        <v>1450.1688575615999</v>
      </c>
      <c r="AC12" s="267">
        <f t="shared" si="8"/>
        <v>326.26189199999999</v>
      </c>
    </row>
    <row r="13" spans="1:34" ht="23.45" customHeight="1" x14ac:dyDescent="0.2">
      <c r="A13" s="250">
        <v>10</v>
      </c>
      <c r="B13" s="251" t="s">
        <v>245</v>
      </c>
      <c r="C13" s="252">
        <v>420.6</v>
      </c>
      <c r="D13" s="252"/>
      <c r="E13" s="252"/>
      <c r="F13" s="252"/>
      <c r="G13" s="253">
        <v>2.1419999999999999</v>
      </c>
      <c r="H13" s="254">
        <f t="shared" si="0"/>
        <v>3105.0239999999999</v>
      </c>
      <c r="I13" s="255">
        <f t="shared" si="1"/>
        <v>6650.9614079999992</v>
      </c>
      <c r="J13" s="256">
        <f t="shared" si="2"/>
        <v>2797.3943682047998</v>
      </c>
      <c r="K13" s="257"/>
      <c r="L13" s="257"/>
      <c r="M13" s="257"/>
      <c r="N13" s="257"/>
      <c r="O13" s="258"/>
      <c r="P13" s="259"/>
      <c r="Q13" s="259"/>
      <c r="R13" s="260"/>
      <c r="S13" s="261">
        <v>37.6</v>
      </c>
      <c r="T13" s="262"/>
      <c r="U13" s="252"/>
      <c r="V13" s="262">
        <v>2.5499999999999998</v>
      </c>
      <c r="W13" s="263">
        <f t="shared" si="3"/>
        <v>2.6774999999999998</v>
      </c>
      <c r="X13" s="264">
        <f t="shared" si="4"/>
        <v>1179.3240000000001</v>
      </c>
      <c r="Y13" s="256">
        <f t="shared" si="5"/>
        <v>496.02367440000006</v>
      </c>
      <c r="Z13" s="252">
        <f t="shared" si="6"/>
        <v>420.6</v>
      </c>
      <c r="AA13" s="265">
        <f t="shared" si="7"/>
        <v>3293.4180426047997</v>
      </c>
      <c r="AB13" s="266">
        <f t="shared" si="9"/>
        <v>1646.7090213023998</v>
      </c>
      <c r="AC13" s="267">
        <f t="shared" si="8"/>
        <v>326.26189199999993</v>
      </c>
    </row>
    <row r="14" spans="1:34" ht="23.45" customHeight="1" x14ac:dyDescent="0.2">
      <c r="A14" s="250">
        <v>11</v>
      </c>
      <c r="B14" s="251" t="s">
        <v>246</v>
      </c>
      <c r="C14" s="252">
        <v>355.8</v>
      </c>
      <c r="D14" s="252"/>
      <c r="E14" s="252"/>
      <c r="F14" s="252"/>
      <c r="G14" s="253">
        <v>2.1419999999999999</v>
      </c>
      <c r="H14" s="254">
        <f t="shared" si="0"/>
        <v>3105.0239999999999</v>
      </c>
      <c r="I14" s="255">
        <f t="shared" si="1"/>
        <v>6650.9614079999992</v>
      </c>
      <c r="J14" s="256">
        <f t="shared" si="2"/>
        <v>2366.4120689664001</v>
      </c>
      <c r="K14" s="257"/>
      <c r="L14" s="257"/>
      <c r="M14" s="257"/>
      <c r="N14" s="257"/>
      <c r="O14" s="258"/>
      <c r="P14" s="259"/>
      <c r="Q14" s="259"/>
      <c r="R14" s="260"/>
      <c r="S14" s="261">
        <v>37.6</v>
      </c>
      <c r="T14" s="262"/>
      <c r="U14" s="262"/>
      <c r="V14" s="262">
        <v>2.5499999999999998</v>
      </c>
      <c r="W14" s="263">
        <f t="shared" si="3"/>
        <v>2.6774999999999998</v>
      </c>
      <c r="X14" s="264">
        <f t="shared" si="4"/>
        <v>1179.3240000000001</v>
      </c>
      <c r="Y14" s="256">
        <f t="shared" si="5"/>
        <v>419.60347920000004</v>
      </c>
      <c r="Z14" s="252">
        <f t="shared" si="6"/>
        <v>355.8</v>
      </c>
      <c r="AA14" s="265">
        <f t="shared" si="7"/>
        <v>2786.0155481664001</v>
      </c>
      <c r="AB14" s="266">
        <f t="shared" si="9"/>
        <v>1393.0077740832</v>
      </c>
      <c r="AC14" s="267">
        <f t="shared" si="8"/>
        <v>326.26189199999999</v>
      </c>
    </row>
    <row r="15" spans="1:34" ht="23.45" customHeight="1" x14ac:dyDescent="0.2">
      <c r="A15" s="250">
        <v>12</v>
      </c>
      <c r="B15" s="251" t="s">
        <v>247</v>
      </c>
      <c r="C15" s="252"/>
      <c r="D15" s="252"/>
      <c r="E15" s="252"/>
      <c r="F15" s="252"/>
      <c r="G15" s="253"/>
      <c r="H15" s="254"/>
      <c r="I15" s="255"/>
      <c r="J15" s="256"/>
      <c r="K15" s="252">
        <v>255.1</v>
      </c>
      <c r="L15" s="252"/>
      <c r="M15" s="252"/>
      <c r="N15" s="252"/>
      <c r="O15" s="253">
        <v>4.8600000000000003</v>
      </c>
      <c r="P15" s="255">
        <v>1000</v>
      </c>
      <c r="Q15" s="255">
        <f>+P15*O15</f>
        <v>4860</v>
      </c>
      <c r="R15" s="256">
        <f>Q15*K15/1000</f>
        <v>1239.7860000000001</v>
      </c>
      <c r="S15" s="261">
        <v>37.6</v>
      </c>
      <c r="T15" s="262"/>
      <c r="U15" s="262"/>
      <c r="V15" s="262">
        <v>2.5499999999999998</v>
      </c>
      <c r="W15" s="263">
        <f t="shared" si="3"/>
        <v>2.6774999999999998</v>
      </c>
      <c r="X15" s="264">
        <f t="shared" si="4"/>
        <v>1179.3240000000001</v>
      </c>
      <c r="Y15" s="256">
        <f t="shared" si="5"/>
        <v>300.84555239999997</v>
      </c>
      <c r="Z15" s="252">
        <f>+C15+K15</f>
        <v>255.1</v>
      </c>
      <c r="AA15" s="265">
        <f t="shared" si="7"/>
        <v>1540.6315524000001</v>
      </c>
      <c r="AB15" s="266">
        <f t="shared" si="9"/>
        <v>770.31577620000007</v>
      </c>
      <c r="AC15" s="267">
        <f t="shared" si="8"/>
        <v>251.63850000000005</v>
      </c>
      <c r="AH15" s="246" t="s">
        <v>248</v>
      </c>
    </row>
    <row r="16" spans="1:34" ht="23.45" customHeight="1" x14ac:dyDescent="0.2">
      <c r="A16" s="250">
        <v>13</v>
      </c>
      <c r="B16" s="251" t="s">
        <v>249</v>
      </c>
      <c r="C16" s="252">
        <v>661.4</v>
      </c>
      <c r="D16" s="252"/>
      <c r="E16" s="252"/>
      <c r="F16" s="252"/>
      <c r="G16" s="253">
        <v>2.1419999999999999</v>
      </c>
      <c r="H16" s="254">
        <f t="shared" si="0"/>
        <v>3105.0239999999999</v>
      </c>
      <c r="I16" s="255">
        <f t="shared" si="1"/>
        <v>6650.9614079999992</v>
      </c>
      <c r="J16" s="256">
        <f t="shared" si="2"/>
        <v>4398.9458752511991</v>
      </c>
      <c r="K16" s="252"/>
      <c r="L16" s="252"/>
      <c r="M16" s="252"/>
      <c r="N16" s="252"/>
      <c r="O16" s="253"/>
      <c r="P16" s="255"/>
      <c r="Q16" s="255"/>
      <c r="R16" s="256"/>
      <c r="S16" s="261">
        <v>37.6</v>
      </c>
      <c r="T16" s="262"/>
      <c r="U16" s="262"/>
      <c r="V16" s="262">
        <v>2.5499999999999998</v>
      </c>
      <c r="W16" s="263">
        <f t="shared" si="3"/>
        <v>2.6774999999999998</v>
      </c>
      <c r="X16" s="264">
        <f t="shared" si="4"/>
        <v>1179.3240000000001</v>
      </c>
      <c r="Y16" s="256">
        <f t="shared" si="5"/>
        <v>780.00489360000006</v>
      </c>
      <c r="Z16" s="252">
        <f t="shared" si="6"/>
        <v>661.4</v>
      </c>
      <c r="AA16" s="265">
        <f t="shared" si="7"/>
        <v>5178.9507688511994</v>
      </c>
      <c r="AB16" s="266">
        <f t="shared" si="9"/>
        <v>2589.4753844255997</v>
      </c>
      <c r="AC16" s="267">
        <f t="shared" si="8"/>
        <v>326.26189199999993</v>
      </c>
    </row>
    <row r="17" spans="1:32" ht="23.45" customHeight="1" x14ac:dyDescent="0.2">
      <c r="A17" s="250">
        <v>14</v>
      </c>
      <c r="B17" s="251" t="s">
        <v>250</v>
      </c>
      <c r="C17" s="252">
        <v>178.5</v>
      </c>
      <c r="D17" s="252"/>
      <c r="E17" s="252"/>
      <c r="F17" s="252"/>
      <c r="G17" s="253">
        <v>2.1419999999999999</v>
      </c>
      <c r="H17" s="254">
        <f t="shared" si="0"/>
        <v>3105.0239999999999</v>
      </c>
      <c r="I17" s="255">
        <f t="shared" si="1"/>
        <v>6650.9614079999992</v>
      </c>
      <c r="J17" s="256">
        <f t="shared" si="2"/>
        <v>1187.196611328</v>
      </c>
      <c r="K17" s="252"/>
      <c r="L17" s="252"/>
      <c r="M17" s="252"/>
      <c r="N17" s="252"/>
      <c r="O17" s="253"/>
      <c r="P17" s="255"/>
      <c r="Q17" s="255"/>
      <c r="R17" s="256"/>
      <c r="S17" s="261">
        <v>37.6</v>
      </c>
      <c r="T17" s="262"/>
      <c r="U17" s="262"/>
      <c r="V17" s="262">
        <v>2.5499999999999998</v>
      </c>
      <c r="W17" s="263">
        <f t="shared" si="3"/>
        <v>2.6774999999999998</v>
      </c>
      <c r="X17" s="264">
        <f t="shared" si="4"/>
        <v>1179.3240000000001</v>
      </c>
      <c r="Y17" s="256">
        <f t="shared" si="5"/>
        <v>210.509334</v>
      </c>
      <c r="Z17" s="252">
        <f t="shared" si="6"/>
        <v>178.5</v>
      </c>
      <c r="AA17" s="265">
        <f t="shared" si="7"/>
        <v>1397.7059453280001</v>
      </c>
      <c r="AB17" s="266">
        <f t="shared" si="9"/>
        <v>698.85297266400005</v>
      </c>
      <c r="AC17" s="267">
        <f t="shared" si="8"/>
        <v>326.26189200000005</v>
      </c>
    </row>
    <row r="18" spans="1:32" ht="23.45" customHeight="1" x14ac:dyDescent="0.2">
      <c r="A18" s="250">
        <v>15</v>
      </c>
      <c r="B18" s="251" t="s">
        <v>251</v>
      </c>
      <c r="C18" s="252">
        <v>257.7</v>
      </c>
      <c r="D18" s="252"/>
      <c r="E18" s="252"/>
      <c r="F18" s="252"/>
      <c r="G18" s="253">
        <v>2.1419999999999999</v>
      </c>
      <c r="H18" s="254">
        <f t="shared" si="0"/>
        <v>3105.0239999999999</v>
      </c>
      <c r="I18" s="255">
        <f t="shared" si="1"/>
        <v>6650.9614079999992</v>
      </c>
      <c r="J18" s="256">
        <f t="shared" si="2"/>
        <v>1713.9527548415997</v>
      </c>
      <c r="K18" s="252"/>
      <c r="L18" s="252"/>
      <c r="M18" s="252"/>
      <c r="N18" s="252"/>
      <c r="O18" s="253"/>
      <c r="P18" s="255"/>
      <c r="Q18" s="255"/>
      <c r="R18" s="256"/>
      <c r="S18" s="261">
        <v>37.6</v>
      </c>
      <c r="T18" s="262"/>
      <c r="U18" s="262"/>
      <c r="V18" s="262">
        <v>2.5499999999999998</v>
      </c>
      <c r="W18" s="263">
        <f t="shared" si="3"/>
        <v>2.6774999999999998</v>
      </c>
      <c r="X18" s="264">
        <f t="shared" si="4"/>
        <v>1179.3240000000001</v>
      </c>
      <c r="Y18" s="256">
        <f t="shared" si="5"/>
        <v>303.91179480000005</v>
      </c>
      <c r="Z18" s="252">
        <f t="shared" si="6"/>
        <v>257.7</v>
      </c>
      <c r="AA18" s="265">
        <f t="shared" si="7"/>
        <v>2017.8645496415998</v>
      </c>
      <c r="AB18" s="266">
        <f t="shared" si="9"/>
        <v>1008.9322748207999</v>
      </c>
      <c r="AC18" s="267">
        <f t="shared" si="8"/>
        <v>326.26189199999993</v>
      </c>
    </row>
    <row r="19" spans="1:32" ht="23.45" customHeight="1" x14ac:dyDescent="0.2">
      <c r="A19" s="250">
        <v>16</v>
      </c>
      <c r="B19" s="251" t="s">
        <v>252</v>
      </c>
      <c r="C19" s="252">
        <v>304.5</v>
      </c>
      <c r="D19" s="252"/>
      <c r="E19" s="252"/>
      <c r="F19" s="252"/>
      <c r="G19" s="253">
        <v>2.1419999999999999</v>
      </c>
      <c r="H19" s="254">
        <f t="shared" si="0"/>
        <v>3105.0239999999999</v>
      </c>
      <c r="I19" s="255">
        <f t="shared" si="1"/>
        <v>6650.9614079999992</v>
      </c>
      <c r="J19" s="256">
        <f t="shared" si="2"/>
        <v>2025.2177487359997</v>
      </c>
      <c r="K19" s="252"/>
      <c r="L19" s="252"/>
      <c r="M19" s="252"/>
      <c r="N19" s="252"/>
      <c r="O19" s="253"/>
      <c r="P19" s="255"/>
      <c r="Q19" s="255"/>
      <c r="R19" s="256"/>
      <c r="S19" s="261">
        <v>37.6</v>
      </c>
      <c r="T19" s="262"/>
      <c r="U19" s="262"/>
      <c r="V19" s="262">
        <v>3.55</v>
      </c>
      <c r="W19" s="263">
        <f t="shared" si="3"/>
        <v>3.7275</v>
      </c>
      <c r="X19" s="264">
        <f t="shared" si="4"/>
        <v>1641.8039999999999</v>
      </c>
      <c r="Y19" s="256">
        <f t="shared" si="5"/>
        <v>499.92931799999997</v>
      </c>
      <c r="Z19" s="252">
        <f t="shared" si="6"/>
        <v>304.5</v>
      </c>
      <c r="AA19" s="265">
        <f t="shared" si="7"/>
        <v>2525.1470667359999</v>
      </c>
      <c r="AB19" s="266">
        <f t="shared" si="9"/>
        <v>1262.573533368</v>
      </c>
      <c r="AC19" s="267">
        <f t="shared" si="8"/>
        <v>345.53189199999997</v>
      </c>
    </row>
    <row r="20" spans="1:32" ht="23.45" customHeight="1" x14ac:dyDescent="0.2">
      <c r="A20" s="250">
        <v>17</v>
      </c>
      <c r="B20" s="251" t="s">
        <v>253</v>
      </c>
      <c r="C20" s="252"/>
      <c r="D20" s="252"/>
      <c r="E20" s="252"/>
      <c r="F20" s="252"/>
      <c r="G20" s="253"/>
      <c r="H20" s="255"/>
      <c r="I20" s="255"/>
      <c r="J20" s="256"/>
      <c r="K20" s="252">
        <v>54.5</v>
      </c>
      <c r="L20" s="252"/>
      <c r="M20" s="252"/>
      <c r="N20" s="252"/>
      <c r="O20" s="253">
        <v>4.8600000000000003</v>
      </c>
      <c r="P20" s="255">
        <v>1000</v>
      </c>
      <c r="Q20" s="255">
        <f t="shared" ref="Q20" si="10">+P20*O20</f>
        <v>4860</v>
      </c>
      <c r="R20" s="256">
        <f>Q20*K20/1000</f>
        <v>264.87</v>
      </c>
      <c r="S20" s="261">
        <v>37.6</v>
      </c>
      <c r="T20" s="262"/>
      <c r="U20" s="262"/>
      <c r="V20" s="262">
        <v>4.55</v>
      </c>
      <c r="W20" s="263">
        <f t="shared" si="3"/>
        <v>4.7774999999999999</v>
      </c>
      <c r="X20" s="264">
        <f t="shared" si="4"/>
        <v>2104.2840000000001</v>
      </c>
      <c r="Y20" s="256">
        <f t="shared" si="5"/>
        <v>114.68347800000001</v>
      </c>
      <c r="Z20" s="252">
        <f>+C20+K20</f>
        <v>54.5</v>
      </c>
      <c r="AA20" s="265">
        <f t="shared" si="7"/>
        <v>379.55347800000004</v>
      </c>
      <c r="AB20" s="266">
        <f t="shared" si="9"/>
        <v>189.77673900000002</v>
      </c>
      <c r="AC20" s="267">
        <f t="shared" si="8"/>
        <v>290.17850000000004</v>
      </c>
    </row>
    <row r="21" spans="1:32" ht="23.45" customHeight="1" x14ac:dyDescent="0.2">
      <c r="A21" s="250">
        <v>18</v>
      </c>
      <c r="B21" s="268" t="s">
        <v>206</v>
      </c>
      <c r="C21" s="252"/>
      <c r="D21" s="252"/>
      <c r="E21" s="252"/>
      <c r="F21" s="252"/>
      <c r="G21" s="253"/>
      <c r="H21" s="254"/>
      <c r="I21" s="255"/>
      <c r="J21" s="256"/>
      <c r="K21" s="252"/>
      <c r="L21" s="252"/>
      <c r="M21" s="252"/>
      <c r="N21" s="252"/>
      <c r="O21" s="253"/>
      <c r="P21" s="255"/>
      <c r="Q21" s="255"/>
      <c r="R21" s="256"/>
      <c r="S21" s="261"/>
      <c r="T21" s="262"/>
      <c r="U21" s="262"/>
      <c r="V21" s="262"/>
      <c r="W21" s="263"/>
      <c r="X21" s="264"/>
      <c r="Y21" s="256"/>
      <c r="Z21" s="252"/>
      <c r="AA21" s="265"/>
      <c r="AB21" s="266"/>
      <c r="AC21" s="267"/>
    </row>
    <row r="22" spans="1:32" ht="23.45" customHeight="1" x14ac:dyDescent="0.2">
      <c r="A22" s="250">
        <v>19</v>
      </c>
      <c r="B22" s="268" t="s">
        <v>205</v>
      </c>
      <c r="C22" s="252"/>
      <c r="D22" s="252"/>
      <c r="E22" s="252"/>
      <c r="F22" s="252"/>
      <c r="G22" s="253"/>
      <c r="H22" s="254"/>
      <c r="I22" s="255"/>
      <c r="J22" s="256"/>
      <c r="K22" s="252"/>
      <c r="L22" s="252"/>
      <c r="M22" s="252"/>
      <c r="N22" s="252"/>
      <c r="O22" s="253"/>
      <c r="P22" s="255"/>
      <c r="Q22" s="255"/>
      <c r="R22" s="256"/>
      <c r="S22" s="261"/>
      <c r="T22" s="262"/>
      <c r="U22" s="262"/>
      <c r="V22" s="262"/>
      <c r="W22" s="263"/>
      <c r="X22" s="264"/>
      <c r="Y22" s="256"/>
      <c r="Z22" s="252"/>
      <c r="AA22" s="265"/>
      <c r="AB22" s="266"/>
      <c r="AC22" s="267"/>
    </row>
    <row r="23" spans="1:32" s="275" customFormat="1" ht="17.25" customHeight="1" x14ac:dyDescent="0.2">
      <c r="A23" s="269" t="s">
        <v>155</v>
      </c>
      <c r="B23" s="270" t="s">
        <v>128</v>
      </c>
      <c r="C23" s="269">
        <f>SUM(C4:C22)</f>
        <v>6237.82</v>
      </c>
      <c r="D23" s="269">
        <f>SUM(D4:D20)</f>
        <v>0</v>
      </c>
      <c r="E23" s="269">
        <f>SUM(E4:E20)</f>
        <v>0</v>
      </c>
      <c r="F23" s="269">
        <f>SUM(F4:F20)</f>
        <v>0</v>
      </c>
      <c r="G23" s="247" t="s">
        <v>155</v>
      </c>
      <c r="H23" s="247" t="s">
        <v>155</v>
      </c>
      <c r="I23" s="266">
        <f>SUM(I4:I22)</f>
        <v>99764.421120000028</v>
      </c>
      <c r="J23" s="271">
        <f>SUM(J4:J22)</f>
        <v>41487.500090050555</v>
      </c>
      <c r="K23" s="269">
        <f t="shared" ref="K23:N23" si="11">SUM(K4:K20)</f>
        <v>309.60000000000002</v>
      </c>
      <c r="L23" s="269">
        <f t="shared" si="11"/>
        <v>0</v>
      </c>
      <c r="M23" s="269">
        <f t="shared" si="11"/>
        <v>0</v>
      </c>
      <c r="N23" s="269">
        <f t="shared" si="11"/>
        <v>0</v>
      </c>
      <c r="O23" s="247" t="s">
        <v>155</v>
      </c>
      <c r="P23" s="247" t="s">
        <v>155</v>
      </c>
      <c r="Q23" s="247" t="s">
        <v>155</v>
      </c>
      <c r="R23" s="271">
        <f>SUM(R4:R20)</f>
        <v>1504.6559999999999</v>
      </c>
      <c r="S23" s="247" t="s">
        <v>155</v>
      </c>
      <c r="T23" s="247" t="s">
        <v>155</v>
      </c>
      <c r="U23" s="247" t="s">
        <v>155</v>
      </c>
      <c r="V23" s="247" t="s">
        <v>155</v>
      </c>
      <c r="W23" s="247" t="s">
        <v>155</v>
      </c>
      <c r="X23" s="247" t="s">
        <v>155</v>
      </c>
      <c r="Y23" s="271">
        <f>SUM(Y4:Y22)</f>
        <v>7912.7650240800021</v>
      </c>
      <c r="Z23" s="272">
        <f>SUM(Z4:Z22)</f>
        <v>6547.42</v>
      </c>
      <c r="AA23" s="266">
        <f>SUM(AA4:AA22)</f>
        <v>50904.921114130557</v>
      </c>
      <c r="AB23" s="273">
        <f>SUM(AB4:AB22)</f>
        <v>25452.460557065278</v>
      </c>
      <c r="AC23" s="247" t="s">
        <v>155</v>
      </c>
      <c r="AD23" s="274"/>
      <c r="AE23" s="274"/>
      <c r="AF23" s="274"/>
    </row>
    <row r="24" spans="1:32" ht="25.5" x14ac:dyDescent="0.2">
      <c r="A24" s="276">
        <v>1</v>
      </c>
      <c r="B24" s="277" t="s">
        <v>254</v>
      </c>
      <c r="C24" s="278">
        <v>41</v>
      </c>
      <c r="D24" s="279"/>
      <c r="E24" s="279"/>
      <c r="F24" s="279"/>
      <c r="G24" s="253">
        <v>2.1419999999999999</v>
      </c>
      <c r="H24" s="254">
        <f>2985.6*1.04</f>
        <v>3105.0239999999999</v>
      </c>
      <c r="I24" s="255">
        <f>+G24*H24</f>
        <v>6650.9614079999992</v>
      </c>
      <c r="J24" s="256">
        <f>I24*C24/1000</f>
        <v>272.68941772799997</v>
      </c>
      <c r="K24" s="280"/>
      <c r="L24" s="280"/>
      <c r="M24" s="280"/>
      <c r="N24" s="280"/>
      <c r="O24" s="280"/>
      <c r="P24" s="280"/>
      <c r="Q24" s="280"/>
      <c r="R24" s="260"/>
      <c r="S24" s="261">
        <v>37.6</v>
      </c>
      <c r="T24" s="262"/>
      <c r="U24" s="262"/>
      <c r="V24" s="262">
        <v>5.55</v>
      </c>
      <c r="W24" s="263">
        <f t="shared" ref="W24:W34" si="12">V24*1.05</f>
        <v>5.8274999999999997</v>
      </c>
      <c r="X24" s="264">
        <f t="shared" ref="X24:X33" si="13">(S24*V24*6)+(S24*W24*6)</f>
        <v>2566.7640000000001</v>
      </c>
      <c r="Y24" s="256">
        <f>Z24*X24/1000</f>
        <v>105.237324</v>
      </c>
      <c r="Z24" s="252">
        <f>+C24+K24</f>
        <v>41</v>
      </c>
      <c r="AA24" s="265">
        <f>SUM(J24+R24+Y24)</f>
        <v>377.92674172799997</v>
      </c>
      <c r="AB24" s="266">
        <f>AA24/2</f>
        <v>188.96337086399998</v>
      </c>
      <c r="AC24" s="267">
        <f t="shared" ref="AC24:AC35" si="14">AB24/Z24/12*1000</f>
        <v>384.07189199999999</v>
      </c>
    </row>
    <row r="25" spans="1:32" ht="38.25" x14ac:dyDescent="0.2">
      <c r="A25" s="276">
        <v>2</v>
      </c>
      <c r="B25" s="277" t="s">
        <v>255</v>
      </c>
      <c r="C25" s="278">
        <v>60</v>
      </c>
      <c r="D25" s="279"/>
      <c r="E25" s="279"/>
      <c r="F25" s="279"/>
      <c r="G25" s="253">
        <v>2.1419999999999999</v>
      </c>
      <c r="H25" s="254">
        <f t="shared" si="0"/>
        <v>3105.0239999999999</v>
      </c>
      <c r="I25" s="255">
        <f t="shared" ref="I25:I27" si="15">+G25*H25</f>
        <v>6650.9614079999992</v>
      </c>
      <c r="J25" s="256">
        <f t="shared" ref="J25:J27" si="16">I25*C25/1000</f>
        <v>399.05768447999992</v>
      </c>
      <c r="K25" s="280"/>
      <c r="L25" s="280"/>
      <c r="M25" s="280"/>
      <c r="N25" s="280"/>
      <c r="O25" s="280"/>
      <c r="P25" s="280"/>
      <c r="Q25" s="280"/>
      <c r="R25" s="260"/>
      <c r="S25" s="261">
        <v>37.6</v>
      </c>
      <c r="T25" s="262"/>
      <c r="U25" s="262"/>
      <c r="V25" s="262">
        <v>5.55</v>
      </c>
      <c r="W25" s="263">
        <f t="shared" si="12"/>
        <v>5.8274999999999997</v>
      </c>
      <c r="X25" s="264">
        <f t="shared" si="13"/>
        <v>2566.7640000000001</v>
      </c>
      <c r="Y25" s="256">
        <f t="shared" ref="Y25:Y34" si="17">Z25*X25/1000</f>
        <v>154.00584000000001</v>
      </c>
      <c r="Z25" s="252">
        <f t="shared" ref="Z25:Z33" si="18">+C25+K25</f>
        <v>60</v>
      </c>
      <c r="AA25" s="265">
        <f t="shared" ref="AA25:AA34" si="19">SUM(J25+R25+Y25)</f>
        <v>553.06352447999996</v>
      </c>
      <c r="AB25" s="266">
        <f t="shared" ref="AB25:AB34" si="20">AA25/2</f>
        <v>276.53176223999998</v>
      </c>
      <c r="AC25" s="267">
        <f t="shared" si="14"/>
        <v>384.07189199999999</v>
      </c>
    </row>
    <row r="26" spans="1:32" ht="25.5" x14ac:dyDescent="0.2">
      <c r="A26" s="276">
        <v>3</v>
      </c>
      <c r="B26" s="277" t="s">
        <v>256</v>
      </c>
      <c r="C26" s="278">
        <v>50</v>
      </c>
      <c r="D26" s="279"/>
      <c r="E26" s="279" t="s">
        <v>257</v>
      </c>
      <c r="F26" s="279"/>
      <c r="G26" s="253">
        <v>2.1419999999999999</v>
      </c>
      <c r="H26" s="254">
        <f t="shared" si="0"/>
        <v>3105.0239999999999</v>
      </c>
      <c r="I26" s="255">
        <f t="shared" si="15"/>
        <v>6650.9614079999992</v>
      </c>
      <c r="J26" s="256">
        <f t="shared" si="16"/>
        <v>332.54807039999997</v>
      </c>
      <c r="K26" s="280"/>
      <c r="L26" s="280"/>
      <c r="M26" s="280"/>
      <c r="N26" s="280"/>
      <c r="O26" s="280"/>
      <c r="P26" s="280"/>
      <c r="Q26" s="280"/>
      <c r="R26" s="260"/>
      <c r="S26" s="261">
        <v>37.6</v>
      </c>
      <c r="T26" s="262"/>
      <c r="U26" s="262"/>
      <c r="V26" s="262">
        <v>5.55</v>
      </c>
      <c r="W26" s="263">
        <f t="shared" si="12"/>
        <v>5.8274999999999997</v>
      </c>
      <c r="X26" s="264">
        <f t="shared" si="13"/>
        <v>2566.7640000000001</v>
      </c>
      <c r="Y26" s="256">
        <f>Z26*X26/1000</f>
        <v>128.3382</v>
      </c>
      <c r="Z26" s="252">
        <f t="shared" si="18"/>
        <v>50</v>
      </c>
      <c r="AA26" s="265">
        <f t="shared" si="19"/>
        <v>460.88627039999994</v>
      </c>
      <c r="AB26" s="266">
        <f t="shared" si="20"/>
        <v>230.44313519999997</v>
      </c>
      <c r="AC26" s="267">
        <f t="shared" si="14"/>
        <v>384.07189199999999</v>
      </c>
    </row>
    <row r="27" spans="1:32" x14ac:dyDescent="0.2">
      <c r="A27" s="276">
        <v>4</v>
      </c>
      <c r="B27" s="277" t="s">
        <v>258</v>
      </c>
      <c r="C27" s="278">
        <v>20</v>
      </c>
      <c r="D27" s="279"/>
      <c r="E27" s="279" t="s">
        <v>259</v>
      </c>
      <c r="F27" s="279"/>
      <c r="G27" s="253">
        <v>2.1419999999999999</v>
      </c>
      <c r="H27" s="254">
        <f t="shared" si="0"/>
        <v>3105.0239999999999</v>
      </c>
      <c r="I27" s="255">
        <f t="shared" si="15"/>
        <v>6650.9614079999992</v>
      </c>
      <c r="J27" s="256">
        <f t="shared" si="16"/>
        <v>133.01922816000001</v>
      </c>
      <c r="K27" s="280"/>
      <c r="L27" s="280"/>
      <c r="M27" s="280"/>
      <c r="N27" s="280"/>
      <c r="O27" s="280"/>
      <c r="P27" s="280"/>
      <c r="Q27" s="280"/>
      <c r="R27" s="260"/>
      <c r="S27" s="261">
        <v>37.6</v>
      </c>
      <c r="T27" s="262"/>
      <c r="U27" s="262"/>
      <c r="V27" s="262">
        <v>5.55</v>
      </c>
      <c r="W27" s="263">
        <f t="shared" si="12"/>
        <v>5.8274999999999997</v>
      </c>
      <c r="X27" s="264">
        <f t="shared" si="13"/>
        <v>2566.7640000000001</v>
      </c>
      <c r="Y27" s="256">
        <f t="shared" si="17"/>
        <v>51.335279999999997</v>
      </c>
      <c r="Z27" s="252">
        <f t="shared" si="18"/>
        <v>20</v>
      </c>
      <c r="AA27" s="265">
        <f t="shared" si="19"/>
        <v>184.35450816000002</v>
      </c>
      <c r="AB27" s="266">
        <f t="shared" si="20"/>
        <v>92.177254080000012</v>
      </c>
      <c r="AC27" s="267">
        <f t="shared" si="14"/>
        <v>384.0718920000001</v>
      </c>
    </row>
    <row r="28" spans="1:32" s="291" customFormat="1" ht="25.5" x14ac:dyDescent="0.2">
      <c r="A28" s="281" t="s">
        <v>155</v>
      </c>
      <c r="B28" s="282" t="s">
        <v>260</v>
      </c>
      <c r="C28" s="283">
        <v>171</v>
      </c>
      <c r="D28" s="284"/>
      <c r="E28" s="284"/>
      <c r="F28" s="284"/>
      <c r="G28" s="247" t="s">
        <v>155</v>
      </c>
      <c r="H28" s="247" t="s">
        <v>155</v>
      </c>
      <c r="I28" s="285">
        <f>SUM(I24:I27)</f>
        <v>26603.845631999997</v>
      </c>
      <c r="J28" s="286">
        <f>SUM(J24:J27)</f>
        <v>1137.3144007679998</v>
      </c>
      <c r="K28" s="287"/>
      <c r="L28" s="287"/>
      <c r="M28" s="287"/>
      <c r="N28" s="287"/>
      <c r="O28" s="287"/>
      <c r="P28" s="287"/>
      <c r="Q28" s="287"/>
      <c r="R28" s="288"/>
      <c r="S28" s="247" t="s">
        <v>155</v>
      </c>
      <c r="T28" s="247" t="s">
        <v>155</v>
      </c>
      <c r="U28" s="247" t="s">
        <v>155</v>
      </c>
      <c r="V28" s="247" t="s">
        <v>155</v>
      </c>
      <c r="W28" s="247" t="s">
        <v>155</v>
      </c>
      <c r="X28" s="247" t="s">
        <v>155</v>
      </c>
      <c r="Y28" s="271">
        <f>SUM(Y24:Y27)</f>
        <v>438.91664400000002</v>
      </c>
      <c r="Z28" s="272">
        <f>+C28+K28</f>
        <v>171</v>
      </c>
      <c r="AA28" s="266">
        <f>SUM(J28+R28+Y28)</f>
        <v>1576.2310447679997</v>
      </c>
      <c r="AB28" s="273">
        <f t="shared" si="20"/>
        <v>788.11552238399986</v>
      </c>
      <c r="AC28" s="289">
        <f t="shared" si="14"/>
        <v>384.07189199999993</v>
      </c>
      <c r="AD28" s="290"/>
      <c r="AE28" s="290"/>
      <c r="AF28" s="290"/>
    </row>
    <row r="29" spans="1:32" s="291" customFormat="1" ht="25.5" x14ac:dyDescent="0.2">
      <c r="A29" s="281" t="s">
        <v>155</v>
      </c>
      <c r="B29" s="292" t="s">
        <v>261</v>
      </c>
      <c r="C29" s="283">
        <v>52</v>
      </c>
      <c r="D29" s="284"/>
      <c r="E29" s="284"/>
      <c r="F29" s="284"/>
      <c r="G29" s="247">
        <v>2.1419999999999999</v>
      </c>
      <c r="H29" s="293">
        <f t="shared" si="0"/>
        <v>3105.0239999999999</v>
      </c>
      <c r="I29" s="294">
        <f t="shared" ref="I29:I33" si="21">+G29*H29</f>
        <v>6650.9614079999992</v>
      </c>
      <c r="J29" s="271">
        <f t="shared" ref="J29:J33" si="22">I29*C29/1000</f>
        <v>345.84999321599997</v>
      </c>
      <c r="K29" s="287"/>
      <c r="L29" s="287"/>
      <c r="M29" s="287"/>
      <c r="N29" s="287"/>
      <c r="O29" s="287"/>
      <c r="P29" s="287"/>
      <c r="Q29" s="287"/>
      <c r="R29" s="288"/>
      <c r="S29" s="295">
        <v>37.6</v>
      </c>
      <c r="T29" s="296"/>
      <c r="U29" s="296"/>
      <c r="V29" s="296">
        <v>5.55</v>
      </c>
      <c r="W29" s="297">
        <f t="shared" si="12"/>
        <v>5.8274999999999997</v>
      </c>
      <c r="X29" s="298">
        <f t="shared" si="13"/>
        <v>2566.7640000000001</v>
      </c>
      <c r="Y29" s="271">
        <f t="shared" si="17"/>
        <v>133.47172800000001</v>
      </c>
      <c r="Z29" s="272">
        <f t="shared" si="18"/>
        <v>52</v>
      </c>
      <c r="AA29" s="266">
        <f t="shared" si="19"/>
        <v>479.32172121600001</v>
      </c>
      <c r="AB29" s="273">
        <f t="shared" si="20"/>
        <v>239.66086060800001</v>
      </c>
      <c r="AC29" s="289">
        <f t="shared" si="14"/>
        <v>384.07189199999999</v>
      </c>
      <c r="AD29" s="290"/>
      <c r="AE29" s="290"/>
      <c r="AF29" s="290"/>
    </row>
    <row r="30" spans="1:32" ht="51" x14ac:dyDescent="0.2">
      <c r="A30" s="276">
        <v>1</v>
      </c>
      <c r="B30" s="299" t="s">
        <v>262</v>
      </c>
      <c r="C30" s="278">
        <v>29</v>
      </c>
      <c r="D30" s="279"/>
      <c r="E30" s="279"/>
      <c r="F30" s="279"/>
      <c r="G30" s="253">
        <v>2.1419999999999999</v>
      </c>
      <c r="H30" s="254">
        <f t="shared" si="0"/>
        <v>3105.0239999999999</v>
      </c>
      <c r="I30" s="255">
        <f t="shared" si="21"/>
        <v>6650.9614079999992</v>
      </c>
      <c r="J30" s="256">
        <f t="shared" si="22"/>
        <v>192.87788083199996</v>
      </c>
      <c r="K30" s="280"/>
      <c r="L30" s="280"/>
      <c r="M30" s="280"/>
      <c r="N30" s="280"/>
      <c r="O30" s="280"/>
      <c r="P30" s="280"/>
      <c r="Q30" s="280"/>
      <c r="R30" s="260"/>
      <c r="S30" s="261">
        <v>37.6</v>
      </c>
      <c r="T30" s="262"/>
      <c r="U30" s="262"/>
      <c r="V30" s="262">
        <v>5.55</v>
      </c>
      <c r="W30" s="263">
        <f t="shared" si="12"/>
        <v>5.8274999999999997</v>
      </c>
      <c r="X30" s="264">
        <f t="shared" si="13"/>
        <v>2566.7640000000001</v>
      </c>
      <c r="Y30" s="256">
        <f t="shared" si="17"/>
        <v>74.436155999999997</v>
      </c>
      <c r="Z30" s="252">
        <f>+C30+K30</f>
        <v>29</v>
      </c>
      <c r="AA30" s="265">
        <f>SUM(J30+R30+Y30)</f>
        <v>267.31403683199994</v>
      </c>
      <c r="AB30" s="266">
        <f>AA30/2</f>
        <v>133.65701841599997</v>
      </c>
      <c r="AC30" s="267">
        <f t="shared" si="14"/>
        <v>384.07189199999993</v>
      </c>
    </row>
    <row r="31" spans="1:32" ht="63.75" x14ac:dyDescent="0.2">
      <c r="A31" s="276">
        <v>2</v>
      </c>
      <c r="B31" s="299" t="s">
        <v>263</v>
      </c>
      <c r="C31" s="278">
        <v>27</v>
      </c>
      <c r="D31" s="279"/>
      <c r="E31" s="279"/>
      <c r="F31" s="279"/>
      <c r="G31" s="253">
        <v>2.1419999999999999</v>
      </c>
      <c r="H31" s="254">
        <f t="shared" si="0"/>
        <v>3105.0239999999999</v>
      </c>
      <c r="I31" s="255">
        <f t="shared" si="21"/>
        <v>6650.9614079999992</v>
      </c>
      <c r="J31" s="256">
        <f t="shared" si="22"/>
        <v>179.57595801599999</v>
      </c>
      <c r="K31" s="280"/>
      <c r="L31" s="280"/>
      <c r="M31" s="280"/>
      <c r="N31" s="280"/>
      <c r="O31" s="280"/>
      <c r="P31" s="280"/>
      <c r="Q31" s="280"/>
      <c r="R31" s="260"/>
      <c r="S31" s="261">
        <v>37.6</v>
      </c>
      <c r="T31" s="262"/>
      <c r="U31" s="262"/>
      <c r="V31" s="262">
        <v>5.55</v>
      </c>
      <c r="W31" s="263">
        <f t="shared" si="12"/>
        <v>5.8274999999999997</v>
      </c>
      <c r="X31" s="264">
        <f t="shared" si="13"/>
        <v>2566.7640000000001</v>
      </c>
      <c r="Y31" s="256">
        <f>Z31*X31/1000</f>
        <v>69.302627999999999</v>
      </c>
      <c r="Z31" s="252">
        <f t="shared" si="18"/>
        <v>27</v>
      </c>
      <c r="AA31" s="265">
        <f t="shared" si="19"/>
        <v>248.87858601599999</v>
      </c>
      <c r="AB31" s="266">
        <f t="shared" si="20"/>
        <v>124.43929300799999</v>
      </c>
      <c r="AC31" s="267">
        <f t="shared" si="14"/>
        <v>384.07189199999999</v>
      </c>
    </row>
    <row r="32" spans="1:32" ht="51" x14ac:dyDescent="0.2">
      <c r="A32" s="276">
        <v>3</v>
      </c>
      <c r="B32" s="299" t="s">
        <v>264</v>
      </c>
      <c r="C32" s="278">
        <v>34</v>
      </c>
      <c r="D32" s="279"/>
      <c r="E32" s="279"/>
      <c r="F32" s="279"/>
      <c r="G32" s="253">
        <v>2.1419999999999999</v>
      </c>
      <c r="H32" s="254">
        <f t="shared" si="0"/>
        <v>3105.0239999999999</v>
      </c>
      <c r="I32" s="255">
        <f t="shared" si="21"/>
        <v>6650.9614079999992</v>
      </c>
      <c r="J32" s="256">
        <f t="shared" si="22"/>
        <v>226.13268787199999</v>
      </c>
      <c r="K32" s="280"/>
      <c r="L32" s="280"/>
      <c r="M32" s="280"/>
      <c r="N32" s="280"/>
      <c r="O32" s="280"/>
      <c r="P32" s="280"/>
      <c r="Q32" s="280"/>
      <c r="R32" s="260"/>
      <c r="S32" s="261">
        <v>37.6</v>
      </c>
      <c r="T32" s="262"/>
      <c r="U32" s="262"/>
      <c r="V32" s="262">
        <v>5.55</v>
      </c>
      <c r="W32" s="263">
        <f t="shared" si="12"/>
        <v>5.8274999999999997</v>
      </c>
      <c r="X32" s="264">
        <f t="shared" si="13"/>
        <v>2566.7640000000001</v>
      </c>
      <c r="Y32" s="256">
        <f t="shared" si="17"/>
        <v>87.269976000000014</v>
      </c>
      <c r="Z32" s="252">
        <f t="shared" si="18"/>
        <v>34</v>
      </c>
      <c r="AA32" s="265">
        <f t="shared" si="19"/>
        <v>313.40266387200001</v>
      </c>
      <c r="AB32" s="266">
        <f t="shared" si="20"/>
        <v>156.701331936</v>
      </c>
      <c r="AC32" s="267">
        <f t="shared" si="14"/>
        <v>384.07189199999999</v>
      </c>
    </row>
    <row r="33" spans="1:32" ht="39.75" customHeight="1" x14ac:dyDescent="0.2">
      <c r="A33" s="276">
        <v>4</v>
      </c>
      <c r="B33" s="300" t="s">
        <v>265</v>
      </c>
      <c r="C33" s="278">
        <v>52</v>
      </c>
      <c r="D33" s="279"/>
      <c r="E33" s="279"/>
      <c r="F33" s="279"/>
      <c r="G33" s="253">
        <v>2.1419999999999999</v>
      </c>
      <c r="H33" s="254">
        <f t="shared" si="0"/>
        <v>3105.0239999999999</v>
      </c>
      <c r="I33" s="255">
        <f t="shared" si="21"/>
        <v>6650.9614079999992</v>
      </c>
      <c r="J33" s="256">
        <f t="shared" si="22"/>
        <v>345.84999321599997</v>
      </c>
      <c r="K33" s="280"/>
      <c r="L33" s="280"/>
      <c r="M33" s="280"/>
      <c r="N33" s="280"/>
      <c r="O33" s="280"/>
      <c r="P33" s="280"/>
      <c r="Q33" s="280"/>
      <c r="R33" s="260"/>
      <c r="S33" s="261">
        <v>37.6</v>
      </c>
      <c r="T33" s="262"/>
      <c r="U33" s="262"/>
      <c r="V33" s="262">
        <v>5.55</v>
      </c>
      <c r="W33" s="263">
        <f t="shared" si="12"/>
        <v>5.8274999999999997</v>
      </c>
      <c r="X33" s="264">
        <f t="shared" si="13"/>
        <v>2566.7640000000001</v>
      </c>
      <c r="Y33" s="256">
        <f t="shared" si="17"/>
        <v>133.47172800000001</v>
      </c>
      <c r="Z33" s="252">
        <f t="shared" si="18"/>
        <v>52</v>
      </c>
      <c r="AA33" s="265">
        <f t="shared" si="19"/>
        <v>479.32172121600001</v>
      </c>
      <c r="AB33" s="266">
        <f t="shared" si="20"/>
        <v>239.66086060800001</v>
      </c>
      <c r="AC33" s="267">
        <f t="shared" si="14"/>
        <v>384.07189199999999</v>
      </c>
    </row>
    <row r="34" spans="1:32" s="291" customFormat="1" x14ac:dyDescent="0.2">
      <c r="A34" s="281" t="s">
        <v>155</v>
      </c>
      <c r="B34" s="282" t="s">
        <v>266</v>
      </c>
      <c r="C34" s="301">
        <f>SUM(C30:C33)</f>
        <v>142</v>
      </c>
      <c r="D34" s="287"/>
      <c r="E34" s="287"/>
      <c r="F34" s="287"/>
      <c r="G34" s="247" t="s">
        <v>155</v>
      </c>
      <c r="H34" s="247" t="s">
        <v>155</v>
      </c>
      <c r="I34" s="302">
        <f>SUM(I30:I33)</f>
        <v>26603.845631999997</v>
      </c>
      <c r="J34" s="303">
        <f>SUM(J30:J33)</f>
        <v>944.43651993599997</v>
      </c>
      <c r="K34" s="302">
        <f>SUM(K30:K33)</f>
        <v>0</v>
      </c>
      <c r="L34" s="287"/>
      <c r="M34" s="287"/>
      <c r="N34" s="287"/>
      <c r="O34" s="247" t="s">
        <v>155</v>
      </c>
      <c r="P34" s="247" t="s">
        <v>155</v>
      </c>
      <c r="Q34" s="247" t="s">
        <v>155</v>
      </c>
      <c r="R34" s="303">
        <f>SUM(R30:R33)</f>
        <v>0</v>
      </c>
      <c r="S34" s="295">
        <v>37.6</v>
      </c>
      <c r="T34" s="296"/>
      <c r="U34" s="296"/>
      <c r="V34" s="296">
        <v>5.55</v>
      </c>
      <c r="W34" s="297">
        <f t="shared" si="12"/>
        <v>5.8274999999999997</v>
      </c>
      <c r="X34" s="298">
        <f>(S34*V34*6)+(S34*W34*6)</f>
        <v>2566.7640000000001</v>
      </c>
      <c r="Y34" s="271">
        <f t="shared" si="17"/>
        <v>364.48048800000004</v>
      </c>
      <c r="Z34" s="304">
        <f>+C34+K34</f>
        <v>142</v>
      </c>
      <c r="AA34" s="266">
        <f t="shared" si="19"/>
        <v>1308.9170079360001</v>
      </c>
      <c r="AB34" s="273">
        <f t="shared" si="20"/>
        <v>654.45850396800006</v>
      </c>
      <c r="AC34" s="289">
        <f t="shared" si="14"/>
        <v>384.0718920000001</v>
      </c>
      <c r="AD34" s="290"/>
      <c r="AE34" s="290"/>
      <c r="AF34" s="290"/>
    </row>
    <row r="35" spans="1:32" s="291" customFormat="1" x14ac:dyDescent="0.2">
      <c r="A35" s="281" t="s">
        <v>155</v>
      </c>
      <c r="B35" s="305" t="s">
        <v>90</v>
      </c>
      <c r="C35" s="306">
        <f>C34+C28+C29+C23</f>
        <v>6602.82</v>
      </c>
      <c r="D35" s="287"/>
      <c r="E35" s="287"/>
      <c r="F35" s="287"/>
      <c r="G35" s="247" t="s">
        <v>155</v>
      </c>
      <c r="H35" s="247" t="s">
        <v>155</v>
      </c>
      <c r="I35" s="307">
        <f>I34+I28+I29+I23</f>
        <v>159623.07379200001</v>
      </c>
      <c r="J35" s="308">
        <f>J34+J28+J29+J23</f>
        <v>43915.101003970558</v>
      </c>
      <c r="K35" s="306">
        <f>K34+K28+K29+K23</f>
        <v>309.60000000000002</v>
      </c>
      <c r="L35" s="287"/>
      <c r="M35" s="287"/>
      <c r="N35" s="287"/>
      <c r="O35" s="247" t="s">
        <v>155</v>
      </c>
      <c r="P35" s="247" t="s">
        <v>155</v>
      </c>
      <c r="Q35" s="247" t="s">
        <v>155</v>
      </c>
      <c r="R35" s="309">
        <f>R34+R28+R29+R23</f>
        <v>1504.6559999999999</v>
      </c>
      <c r="S35" s="247" t="s">
        <v>155</v>
      </c>
      <c r="T35" s="247" t="s">
        <v>155</v>
      </c>
      <c r="U35" s="247" t="s">
        <v>155</v>
      </c>
      <c r="V35" s="247" t="s">
        <v>155</v>
      </c>
      <c r="W35" s="247" t="s">
        <v>155</v>
      </c>
      <c r="X35" s="247" t="s">
        <v>155</v>
      </c>
      <c r="Y35" s="309">
        <f>Y34+Y28+Y29+Y23</f>
        <v>8849.6338840800017</v>
      </c>
      <c r="Z35" s="310">
        <f>+C35+K35</f>
        <v>6912.42</v>
      </c>
      <c r="AA35" s="266">
        <f>SUM(J35+R35+Y35)</f>
        <v>54269.390888050562</v>
      </c>
      <c r="AB35" s="273">
        <f>AA35/2</f>
        <v>27134.695444025281</v>
      </c>
      <c r="AC35" s="289">
        <f t="shared" si="14"/>
        <v>327.12488829316504</v>
      </c>
      <c r="AD35" s="290"/>
      <c r="AE35" s="290"/>
      <c r="AF35" s="290"/>
    </row>
    <row r="36" spans="1:32" x14ac:dyDescent="0.2">
      <c r="A36" s="276"/>
      <c r="B36" s="280"/>
    </row>
  </sheetData>
  <mergeCells count="10">
    <mergeCell ref="AA2:AA3"/>
    <mergeCell ref="AB2:AB3"/>
    <mergeCell ref="AC2:AC3"/>
    <mergeCell ref="C1:Z1"/>
    <mergeCell ref="A2:A3"/>
    <mergeCell ref="B2:B3"/>
    <mergeCell ref="C2:J2"/>
    <mergeCell ref="K2:R2"/>
    <mergeCell ref="S2:Y2"/>
    <mergeCell ref="Z2:Z3"/>
  </mergeCells>
  <printOptions horizontalCentered="1"/>
  <pageMargins left="0.23622047244094491" right="0.23622047244094491" top="1.3385826771653544" bottom="0.74803149606299213" header="0.31496062992125984" footer="0.31496062992125984"/>
  <pageSetup paperSize="9" scale="4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4">
    <tabColor rgb="FFFFFF00"/>
    <pageSetUpPr fitToPage="1"/>
  </sheetPr>
  <dimension ref="A1:AH42"/>
  <sheetViews>
    <sheetView view="pageBreakPreview" zoomScale="85" zoomScaleNormal="100" zoomScaleSheetLayoutView="85" workbookViewId="0">
      <pane xSplit="2" ySplit="3" topLeftCell="J22" activePane="bottomRight" state="frozen"/>
      <selection activeCell="P16" sqref="P16"/>
      <selection pane="topRight" activeCell="P16" sqref="P16"/>
      <selection pane="bottomLeft" activeCell="P16" sqref="P16"/>
      <selection pane="bottomRight" activeCell="Y41" sqref="Y41"/>
    </sheetView>
  </sheetViews>
  <sheetFormatPr defaultRowHeight="12.75" x14ac:dyDescent="0.2"/>
  <cols>
    <col min="1" max="1" width="4.42578125" style="245" customWidth="1"/>
    <col min="2" max="2" width="19.7109375" style="245" customWidth="1"/>
    <col min="3" max="3" width="14.85546875" style="245" customWidth="1"/>
    <col min="4" max="4" width="13.140625" style="245" hidden="1" customWidth="1"/>
    <col min="5" max="5" width="12.140625" style="245" hidden="1" customWidth="1"/>
    <col min="6" max="6" width="12.5703125" style="245" hidden="1" customWidth="1"/>
    <col min="7" max="7" width="14.85546875" style="245" customWidth="1"/>
    <col min="8" max="8" width="16.140625" style="245" customWidth="1"/>
    <col min="9" max="9" width="16.5703125" style="245" customWidth="1"/>
    <col min="10" max="10" width="16.7109375" style="245" customWidth="1"/>
    <col min="11" max="11" width="15.28515625" style="245" customWidth="1"/>
    <col min="12" max="12" width="12.42578125" style="245" hidden="1" customWidth="1"/>
    <col min="13" max="13" width="12.28515625" style="245" hidden="1" customWidth="1"/>
    <col min="14" max="14" width="11.7109375" style="245" hidden="1" customWidth="1"/>
    <col min="15" max="15" width="13.7109375" style="245" customWidth="1"/>
    <col min="16" max="16" width="14" style="245" customWidth="1"/>
    <col min="17" max="17" width="15" style="245" customWidth="1"/>
    <col min="18" max="19" width="16.140625" style="245" customWidth="1"/>
    <col min="20" max="21" width="0" style="245" hidden="1" customWidth="1"/>
    <col min="22" max="22" width="13" style="245" customWidth="1"/>
    <col min="23" max="23" width="13.140625" style="245" customWidth="1"/>
    <col min="24" max="24" width="14.7109375" style="245" customWidth="1"/>
    <col min="25" max="25" width="17.7109375" style="245" customWidth="1"/>
    <col min="26" max="26" width="15.5703125" style="245" customWidth="1"/>
    <col min="27" max="27" width="16.5703125" style="245" customWidth="1"/>
    <col min="28" max="28" width="19.42578125" style="245" customWidth="1"/>
    <col min="29" max="29" width="17.85546875" style="245" customWidth="1"/>
    <col min="30" max="32" width="9.140625" style="245"/>
    <col min="33" max="16384" width="9.140625" style="246"/>
  </cols>
  <sheetData>
    <row r="1" spans="1:34" ht="32.25" customHeight="1" x14ac:dyDescent="0.2">
      <c r="C1" s="746" t="s">
        <v>390</v>
      </c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</row>
    <row r="2" spans="1:34" ht="39" customHeight="1" x14ac:dyDescent="0.2">
      <c r="A2" s="747" t="s">
        <v>208</v>
      </c>
      <c r="B2" s="747" t="s">
        <v>209</v>
      </c>
      <c r="C2" s="745" t="s">
        <v>210</v>
      </c>
      <c r="D2" s="745"/>
      <c r="E2" s="745"/>
      <c r="F2" s="745"/>
      <c r="G2" s="745"/>
      <c r="H2" s="745"/>
      <c r="I2" s="745"/>
      <c r="J2" s="745"/>
      <c r="K2" s="745" t="s">
        <v>211</v>
      </c>
      <c r="L2" s="745"/>
      <c r="M2" s="745"/>
      <c r="N2" s="745"/>
      <c r="O2" s="745"/>
      <c r="P2" s="745"/>
      <c r="Q2" s="745"/>
      <c r="R2" s="745"/>
      <c r="S2" s="745" t="s">
        <v>212</v>
      </c>
      <c r="T2" s="745"/>
      <c r="U2" s="745"/>
      <c r="V2" s="745"/>
      <c r="W2" s="745"/>
      <c r="X2" s="745"/>
      <c r="Y2" s="745"/>
      <c r="Z2" s="745" t="s">
        <v>213</v>
      </c>
      <c r="AA2" s="745" t="s">
        <v>214</v>
      </c>
      <c r="AB2" s="745" t="s">
        <v>215</v>
      </c>
      <c r="AC2" s="745" t="s">
        <v>216</v>
      </c>
    </row>
    <row r="3" spans="1:34" ht="78.75" customHeight="1" x14ac:dyDescent="0.2">
      <c r="A3" s="747"/>
      <c r="B3" s="747"/>
      <c r="C3" s="247" t="s">
        <v>217</v>
      </c>
      <c r="D3" s="247" t="s">
        <v>218</v>
      </c>
      <c r="E3" s="247" t="s">
        <v>219</v>
      </c>
      <c r="F3" s="247" t="s">
        <v>220</v>
      </c>
      <c r="G3" s="247" t="s">
        <v>221</v>
      </c>
      <c r="H3" s="247" t="s">
        <v>222</v>
      </c>
      <c r="I3" s="247" t="s">
        <v>223</v>
      </c>
      <c r="J3" s="248" t="s">
        <v>224</v>
      </c>
      <c r="K3" s="247" t="s">
        <v>217</v>
      </c>
      <c r="L3" s="247" t="s">
        <v>218</v>
      </c>
      <c r="M3" s="247" t="s">
        <v>219</v>
      </c>
      <c r="N3" s="247" t="s">
        <v>220</v>
      </c>
      <c r="O3" s="247" t="s">
        <v>225</v>
      </c>
      <c r="P3" s="247" t="s">
        <v>226</v>
      </c>
      <c r="Q3" s="247" t="s">
        <v>227</v>
      </c>
      <c r="R3" s="248" t="s">
        <v>228</v>
      </c>
      <c r="S3" s="247" t="s">
        <v>229</v>
      </c>
      <c r="T3" s="247" t="s">
        <v>230</v>
      </c>
      <c r="U3" s="247" t="s">
        <v>231</v>
      </c>
      <c r="V3" s="247" t="s">
        <v>232</v>
      </c>
      <c r="W3" s="247" t="s">
        <v>233</v>
      </c>
      <c r="X3" s="247" t="s">
        <v>234</v>
      </c>
      <c r="Y3" s="249" t="s">
        <v>235</v>
      </c>
      <c r="Z3" s="745"/>
      <c r="AA3" s="745"/>
      <c r="AB3" s="745"/>
      <c r="AC3" s="745"/>
    </row>
    <row r="4" spans="1:34" ht="23.45" customHeight="1" x14ac:dyDescent="0.2">
      <c r="A4" s="250">
        <v>1</v>
      </c>
      <c r="B4" s="251" t="s">
        <v>236</v>
      </c>
      <c r="C4" s="552">
        <v>382.6</v>
      </c>
      <c r="D4" s="252"/>
      <c r="E4" s="252"/>
      <c r="F4" s="252"/>
      <c r="G4" s="253">
        <v>2.1419999999999999</v>
      </c>
      <c r="H4" s="254">
        <f>2985.6*1.04</f>
        <v>3105.0239999999999</v>
      </c>
      <c r="I4" s="255">
        <f>+G4*H4</f>
        <v>6650.9614079999992</v>
      </c>
      <c r="J4" s="256">
        <f>I4*C4/1000</f>
        <v>2544.6578347007999</v>
      </c>
      <c r="K4" s="257"/>
      <c r="L4" s="257"/>
      <c r="M4" s="257"/>
      <c r="N4" s="257"/>
      <c r="O4" s="258"/>
      <c r="P4" s="259"/>
      <c r="Q4" s="259"/>
      <c r="R4" s="260"/>
      <c r="S4" s="261">
        <v>37.6</v>
      </c>
      <c r="T4" s="262"/>
      <c r="U4" s="262"/>
      <c r="V4" s="262">
        <v>2.5499999999999998</v>
      </c>
      <c r="W4" s="263">
        <f>V4*1.05</f>
        <v>2.6774999999999998</v>
      </c>
      <c r="X4" s="264">
        <f>(S4*V4*6)+(S4*W4*6)</f>
        <v>1179.3240000000001</v>
      </c>
      <c r="Y4" s="256">
        <f>Z4*X4/1000</f>
        <v>451.20936240000003</v>
      </c>
      <c r="Z4" s="252">
        <f>+C4+K4</f>
        <v>382.6</v>
      </c>
      <c r="AA4" s="265">
        <f>SUM(J4+R4+Y4)</f>
        <v>2995.8671971007998</v>
      </c>
      <c r="AB4" s="266">
        <f>AA4/2</f>
        <v>1497.9335985503999</v>
      </c>
      <c r="AC4" s="267">
        <f>AB4/Z4/12*1000</f>
        <v>326.26189199999993</v>
      </c>
    </row>
    <row r="5" spans="1:34" ht="23.45" customHeight="1" x14ac:dyDescent="0.2">
      <c r="A5" s="250">
        <v>2</v>
      </c>
      <c r="B5" s="251" t="s">
        <v>237</v>
      </c>
      <c r="C5" s="552">
        <v>433.52</v>
      </c>
      <c r="D5" s="252"/>
      <c r="E5" s="252"/>
      <c r="F5" s="252"/>
      <c r="G5" s="253">
        <v>2.1419999999999999</v>
      </c>
      <c r="H5" s="254">
        <f t="shared" ref="H5:H33" si="0">2985.6*1.04</f>
        <v>3105.0239999999999</v>
      </c>
      <c r="I5" s="255">
        <f t="shared" ref="I5:I19" si="1">+G5*H5</f>
        <v>6650.9614079999992</v>
      </c>
      <c r="J5" s="256">
        <f t="shared" ref="J5:J19" si="2">I5*C5/1000</f>
        <v>2883.3247895961595</v>
      </c>
      <c r="K5" s="257"/>
      <c r="L5" s="257"/>
      <c r="M5" s="257"/>
      <c r="N5" s="257"/>
      <c r="O5" s="258"/>
      <c r="P5" s="259"/>
      <c r="Q5" s="259"/>
      <c r="R5" s="260"/>
      <c r="S5" s="261">
        <v>37.6</v>
      </c>
      <c r="T5" s="262"/>
      <c r="U5" s="262"/>
      <c r="V5" s="262">
        <v>2.5499999999999998</v>
      </c>
      <c r="W5" s="263">
        <f t="shared" ref="W5:W20" si="3">V5*1.05</f>
        <v>2.6774999999999998</v>
      </c>
      <c r="X5" s="264">
        <f t="shared" ref="X5:X20" si="4">(S5*V5*6)+(S5*W5*6)</f>
        <v>1179.3240000000001</v>
      </c>
      <c r="Y5" s="256">
        <f t="shared" ref="Y5:Y20" si="5">Z5*X5/1000</f>
        <v>511.26054048000003</v>
      </c>
      <c r="Z5" s="252">
        <f t="shared" ref="Z5:Z19" si="6">+C5+K5</f>
        <v>433.52</v>
      </c>
      <c r="AA5" s="265">
        <f t="shared" ref="AA5:AA20" si="7">SUM(J5+R5+Y5)</f>
        <v>3394.5853300761596</v>
      </c>
      <c r="AB5" s="266">
        <f>AA5/2</f>
        <v>1697.2926650380798</v>
      </c>
      <c r="AC5" s="267">
        <f t="shared" ref="AC5:AC20" si="8">AB5/Z5/12*1000</f>
        <v>326.26189199999993</v>
      </c>
    </row>
    <row r="6" spans="1:34" ht="23.45" customHeight="1" x14ac:dyDescent="0.2">
      <c r="A6" s="250">
        <v>3</v>
      </c>
      <c r="B6" s="251" t="s">
        <v>238</v>
      </c>
      <c r="C6" s="552">
        <v>734.8</v>
      </c>
      <c r="D6" s="252"/>
      <c r="E6" s="252"/>
      <c r="F6" s="252"/>
      <c r="G6" s="253">
        <v>2.1419999999999999</v>
      </c>
      <c r="H6" s="254">
        <f t="shared" si="0"/>
        <v>3105.0239999999999</v>
      </c>
      <c r="I6" s="255">
        <f t="shared" si="1"/>
        <v>6650.9614079999992</v>
      </c>
      <c r="J6" s="256">
        <f t="shared" si="2"/>
        <v>4887.1264425983991</v>
      </c>
      <c r="K6" s="257"/>
      <c r="L6" s="257"/>
      <c r="M6" s="257"/>
      <c r="N6" s="257"/>
      <c r="O6" s="258"/>
      <c r="P6" s="259"/>
      <c r="Q6" s="259"/>
      <c r="R6" s="260"/>
      <c r="S6" s="261">
        <v>37.6</v>
      </c>
      <c r="T6" s="262"/>
      <c r="U6" s="262"/>
      <c r="V6" s="262">
        <v>2.5499999999999998</v>
      </c>
      <c r="W6" s="263">
        <f t="shared" si="3"/>
        <v>2.6774999999999998</v>
      </c>
      <c r="X6" s="264">
        <f t="shared" si="4"/>
        <v>1179.3240000000001</v>
      </c>
      <c r="Y6" s="256">
        <f t="shared" si="5"/>
        <v>866.56727520000004</v>
      </c>
      <c r="Z6" s="252">
        <f t="shared" si="6"/>
        <v>734.8</v>
      </c>
      <c r="AA6" s="265">
        <f t="shared" si="7"/>
        <v>5753.6937177983991</v>
      </c>
      <c r="AB6" s="266">
        <f t="shared" ref="AB6:AB20" si="9">AA6/2</f>
        <v>2876.8468588991996</v>
      </c>
      <c r="AC6" s="267">
        <f t="shared" si="8"/>
        <v>326.26189199999993</v>
      </c>
    </row>
    <row r="7" spans="1:34" ht="23.45" customHeight="1" x14ac:dyDescent="0.2">
      <c r="A7" s="250">
        <v>4</v>
      </c>
      <c r="B7" s="251" t="s">
        <v>239</v>
      </c>
      <c r="C7" s="552">
        <v>491.6</v>
      </c>
      <c r="D7" s="252"/>
      <c r="E7" s="252"/>
      <c r="F7" s="252"/>
      <c r="G7" s="253">
        <v>2.1419999999999999</v>
      </c>
      <c r="H7" s="254">
        <f t="shared" si="0"/>
        <v>3105.0239999999999</v>
      </c>
      <c r="I7" s="255">
        <f t="shared" si="1"/>
        <v>6650.9614079999992</v>
      </c>
      <c r="J7" s="256">
        <f t="shared" si="2"/>
        <v>3269.6126281727998</v>
      </c>
      <c r="K7" s="257"/>
      <c r="L7" s="257"/>
      <c r="M7" s="257"/>
      <c r="N7" s="257"/>
      <c r="O7" s="258"/>
      <c r="P7" s="259"/>
      <c r="Q7" s="259"/>
      <c r="R7" s="260"/>
      <c r="S7" s="261">
        <v>37.6</v>
      </c>
      <c r="T7" s="262"/>
      <c r="U7" s="262"/>
      <c r="V7" s="262">
        <v>2.5499999999999998</v>
      </c>
      <c r="W7" s="263">
        <f t="shared" si="3"/>
        <v>2.6774999999999998</v>
      </c>
      <c r="X7" s="264">
        <f t="shared" si="4"/>
        <v>1179.3240000000001</v>
      </c>
      <c r="Y7" s="256">
        <f t="shared" si="5"/>
        <v>579.75567840000008</v>
      </c>
      <c r="Z7" s="252">
        <f t="shared" si="6"/>
        <v>491.6</v>
      </c>
      <c r="AA7" s="265">
        <f t="shared" si="7"/>
        <v>3849.3683065728001</v>
      </c>
      <c r="AB7" s="266">
        <f t="shared" si="9"/>
        <v>1924.6841532864</v>
      </c>
      <c r="AC7" s="267">
        <f t="shared" si="8"/>
        <v>326.26189199999999</v>
      </c>
    </row>
    <row r="8" spans="1:34" ht="23.45" customHeight="1" x14ac:dyDescent="0.2">
      <c r="A8" s="250">
        <v>5</v>
      </c>
      <c r="B8" s="251" t="s">
        <v>240</v>
      </c>
      <c r="C8" s="552">
        <v>867.6</v>
      </c>
      <c r="D8" s="252"/>
      <c r="E8" s="252"/>
      <c r="F8" s="252"/>
      <c r="G8" s="253">
        <v>2.1419999999999999</v>
      </c>
      <c r="H8" s="254">
        <f t="shared" si="0"/>
        <v>3105.0239999999999</v>
      </c>
      <c r="I8" s="255">
        <f t="shared" si="1"/>
        <v>6650.9614079999992</v>
      </c>
      <c r="J8" s="256">
        <f t="shared" si="2"/>
        <v>5770.3741175807991</v>
      </c>
      <c r="K8" s="257"/>
      <c r="L8" s="257"/>
      <c r="M8" s="257"/>
      <c r="N8" s="257"/>
      <c r="O8" s="258"/>
      <c r="P8" s="259"/>
      <c r="Q8" s="259"/>
      <c r="R8" s="260"/>
      <c r="S8" s="261">
        <v>37.6</v>
      </c>
      <c r="T8" s="262"/>
      <c r="U8" s="262"/>
      <c r="V8" s="262">
        <v>2.5499999999999998</v>
      </c>
      <c r="W8" s="263">
        <f t="shared" si="3"/>
        <v>2.6774999999999998</v>
      </c>
      <c r="X8" s="264">
        <f t="shared" si="4"/>
        <v>1179.3240000000001</v>
      </c>
      <c r="Y8" s="256">
        <f t="shared" si="5"/>
        <v>1023.1815024000001</v>
      </c>
      <c r="Z8" s="252">
        <f t="shared" si="6"/>
        <v>867.6</v>
      </c>
      <c r="AA8" s="265">
        <f t="shared" si="7"/>
        <v>6793.5556199807988</v>
      </c>
      <c r="AB8" s="266">
        <f t="shared" si="9"/>
        <v>3396.7778099903994</v>
      </c>
      <c r="AC8" s="267">
        <f t="shared" si="8"/>
        <v>326.26189199999993</v>
      </c>
    </row>
    <row r="9" spans="1:34" ht="23.45" customHeight="1" x14ac:dyDescent="0.2">
      <c r="A9" s="250">
        <v>6</v>
      </c>
      <c r="B9" s="251" t="s">
        <v>241</v>
      </c>
      <c r="C9" s="552">
        <v>215</v>
      </c>
      <c r="D9" s="252"/>
      <c r="E9" s="252"/>
      <c r="F9" s="252"/>
      <c r="G9" s="253">
        <v>2.1419999999999999</v>
      </c>
      <c r="H9" s="254">
        <f t="shared" si="0"/>
        <v>3105.0239999999999</v>
      </c>
      <c r="I9" s="255">
        <f t="shared" si="1"/>
        <v>6650.9614079999992</v>
      </c>
      <c r="J9" s="256">
        <f t="shared" si="2"/>
        <v>1429.9567027199998</v>
      </c>
      <c r="K9" s="257"/>
      <c r="L9" s="257"/>
      <c r="M9" s="257"/>
      <c r="N9" s="257"/>
      <c r="O9" s="258"/>
      <c r="P9" s="259"/>
      <c r="Q9" s="259"/>
      <c r="R9" s="260"/>
      <c r="S9" s="261">
        <v>37.6</v>
      </c>
      <c r="T9" s="262"/>
      <c r="U9" s="262"/>
      <c r="V9" s="262">
        <v>2.5499999999999998</v>
      </c>
      <c r="W9" s="263">
        <f t="shared" si="3"/>
        <v>2.6774999999999998</v>
      </c>
      <c r="X9" s="264">
        <f t="shared" si="4"/>
        <v>1179.3240000000001</v>
      </c>
      <c r="Y9" s="256">
        <f t="shared" si="5"/>
        <v>253.55466000000001</v>
      </c>
      <c r="Z9" s="252">
        <f t="shared" si="6"/>
        <v>215</v>
      </c>
      <c r="AA9" s="265">
        <f t="shared" si="7"/>
        <v>1683.5113627199999</v>
      </c>
      <c r="AB9" s="266">
        <f t="shared" si="9"/>
        <v>841.75568135999993</v>
      </c>
      <c r="AC9" s="267">
        <f t="shared" si="8"/>
        <v>326.26189199999993</v>
      </c>
    </row>
    <row r="10" spans="1:34" ht="23.45" customHeight="1" x14ac:dyDescent="0.2">
      <c r="A10" s="250">
        <v>7</v>
      </c>
      <c r="B10" s="251" t="s">
        <v>242</v>
      </c>
      <c r="C10" s="552">
        <v>256</v>
      </c>
      <c r="D10" s="252"/>
      <c r="E10" s="252"/>
      <c r="F10" s="252"/>
      <c r="G10" s="253">
        <v>2.1419999999999999</v>
      </c>
      <c r="H10" s="254">
        <f t="shared" si="0"/>
        <v>3105.0239999999999</v>
      </c>
      <c r="I10" s="255">
        <f>+G10*H10</f>
        <v>6650.9614079999992</v>
      </c>
      <c r="J10" s="256">
        <f t="shared" si="2"/>
        <v>1702.6461204479997</v>
      </c>
      <c r="K10" s="257"/>
      <c r="L10" s="257"/>
      <c r="M10" s="257"/>
      <c r="N10" s="257"/>
      <c r="O10" s="258"/>
      <c r="P10" s="259"/>
      <c r="Q10" s="259"/>
      <c r="R10" s="260"/>
      <c r="S10" s="261">
        <v>37.6</v>
      </c>
      <c r="T10" s="262"/>
      <c r="U10" s="262"/>
      <c r="V10" s="262">
        <v>2.5499999999999998</v>
      </c>
      <c r="W10" s="263">
        <f t="shared" si="3"/>
        <v>2.6774999999999998</v>
      </c>
      <c r="X10" s="264">
        <f t="shared" si="4"/>
        <v>1179.3240000000001</v>
      </c>
      <c r="Y10" s="256">
        <f t="shared" si="5"/>
        <v>301.90694400000001</v>
      </c>
      <c r="Z10" s="252">
        <f t="shared" si="6"/>
        <v>256</v>
      </c>
      <c r="AA10" s="265">
        <f t="shared" si="7"/>
        <v>2004.5530644479998</v>
      </c>
      <c r="AB10" s="266">
        <f t="shared" si="9"/>
        <v>1002.2765322239999</v>
      </c>
      <c r="AC10" s="267">
        <f t="shared" si="8"/>
        <v>326.26189199999993</v>
      </c>
    </row>
    <row r="11" spans="1:34" ht="23.45" customHeight="1" x14ac:dyDescent="0.2">
      <c r="A11" s="250">
        <v>8</v>
      </c>
      <c r="B11" s="251" t="s">
        <v>243</v>
      </c>
      <c r="C11" s="552">
        <v>307.8</v>
      </c>
      <c r="D11" s="252"/>
      <c r="E11" s="252"/>
      <c r="F11" s="252"/>
      <c r="G11" s="253">
        <v>2.1419999999999999</v>
      </c>
      <c r="H11" s="254">
        <f t="shared" si="0"/>
        <v>3105.0239999999999</v>
      </c>
      <c r="I11" s="255">
        <f t="shared" si="1"/>
        <v>6650.9614079999992</v>
      </c>
      <c r="J11" s="256">
        <f t="shared" si="2"/>
        <v>2047.1659213823998</v>
      </c>
      <c r="K11" s="257"/>
      <c r="L11" s="257"/>
      <c r="M11" s="257"/>
      <c r="N11" s="257"/>
      <c r="O11" s="258"/>
      <c r="P11" s="259"/>
      <c r="Q11" s="259"/>
      <c r="R11" s="260"/>
      <c r="S11" s="261">
        <v>37.6</v>
      </c>
      <c r="T11" s="262"/>
      <c r="U11" s="262"/>
      <c r="V11" s="262">
        <v>2.5499999999999998</v>
      </c>
      <c r="W11" s="263">
        <f t="shared" si="3"/>
        <v>2.6774999999999998</v>
      </c>
      <c r="X11" s="264">
        <f t="shared" si="4"/>
        <v>1179.3240000000001</v>
      </c>
      <c r="Y11" s="256">
        <f t="shared" si="5"/>
        <v>362.99592720000004</v>
      </c>
      <c r="Z11" s="252">
        <f t="shared" si="6"/>
        <v>307.8</v>
      </c>
      <c r="AA11" s="265">
        <f t="shared" si="7"/>
        <v>2410.1618485823997</v>
      </c>
      <c r="AB11" s="266">
        <f t="shared" si="9"/>
        <v>1205.0809242911998</v>
      </c>
      <c r="AC11" s="267">
        <f t="shared" si="8"/>
        <v>326.26189199999993</v>
      </c>
    </row>
    <row r="12" spans="1:34" ht="23.45" customHeight="1" x14ac:dyDescent="0.2">
      <c r="A12" s="250">
        <v>9</v>
      </c>
      <c r="B12" s="251" t="s">
        <v>244</v>
      </c>
      <c r="C12" s="552">
        <v>370.4</v>
      </c>
      <c r="D12" s="252"/>
      <c r="E12" s="252"/>
      <c r="F12" s="252"/>
      <c r="G12" s="253">
        <v>2.1419999999999999</v>
      </c>
      <c r="H12" s="254">
        <f t="shared" si="0"/>
        <v>3105.0239999999999</v>
      </c>
      <c r="I12" s="255">
        <f t="shared" si="1"/>
        <v>6650.9614079999992</v>
      </c>
      <c r="J12" s="256">
        <f t="shared" si="2"/>
        <v>2463.5161055231997</v>
      </c>
      <c r="K12" s="257"/>
      <c r="L12" s="257"/>
      <c r="M12" s="257"/>
      <c r="N12" s="257"/>
      <c r="O12" s="258"/>
      <c r="P12" s="259"/>
      <c r="Q12" s="259"/>
      <c r="R12" s="260"/>
      <c r="S12" s="261">
        <v>37.6</v>
      </c>
      <c r="T12" s="262"/>
      <c r="U12" s="262"/>
      <c r="V12" s="262">
        <v>2.5499999999999998</v>
      </c>
      <c r="W12" s="263">
        <f t="shared" si="3"/>
        <v>2.6774999999999998</v>
      </c>
      <c r="X12" s="264">
        <f t="shared" si="4"/>
        <v>1179.3240000000001</v>
      </c>
      <c r="Y12" s="256">
        <f t="shared" si="5"/>
        <v>436.82160960000004</v>
      </c>
      <c r="Z12" s="252">
        <f t="shared" si="6"/>
        <v>370.4</v>
      </c>
      <c r="AA12" s="265">
        <f t="shared" si="7"/>
        <v>2900.3377151231998</v>
      </c>
      <c r="AB12" s="266">
        <f t="shared" si="9"/>
        <v>1450.1688575615999</v>
      </c>
      <c r="AC12" s="267">
        <f t="shared" si="8"/>
        <v>326.26189199999999</v>
      </c>
    </row>
    <row r="13" spans="1:34" ht="23.45" customHeight="1" x14ac:dyDescent="0.2">
      <c r="A13" s="250">
        <v>10</v>
      </c>
      <c r="B13" s="251" t="s">
        <v>245</v>
      </c>
      <c r="C13" s="552">
        <v>420.6</v>
      </c>
      <c r="D13" s="252"/>
      <c r="E13" s="252"/>
      <c r="F13" s="252"/>
      <c r="G13" s="253">
        <v>2.1419999999999999</v>
      </c>
      <c r="H13" s="254">
        <f t="shared" si="0"/>
        <v>3105.0239999999999</v>
      </c>
      <c r="I13" s="255">
        <f t="shared" si="1"/>
        <v>6650.9614079999992</v>
      </c>
      <c r="J13" s="256">
        <f t="shared" si="2"/>
        <v>2797.3943682047998</v>
      </c>
      <c r="K13" s="257"/>
      <c r="L13" s="257"/>
      <c r="M13" s="257"/>
      <c r="N13" s="257"/>
      <c r="O13" s="258"/>
      <c r="P13" s="259"/>
      <c r="Q13" s="259"/>
      <c r="R13" s="260"/>
      <c r="S13" s="261">
        <v>37.6</v>
      </c>
      <c r="T13" s="262"/>
      <c r="U13" s="252"/>
      <c r="V13" s="262">
        <v>2.5499999999999998</v>
      </c>
      <c r="W13" s="263">
        <f t="shared" si="3"/>
        <v>2.6774999999999998</v>
      </c>
      <c r="X13" s="264">
        <f t="shared" si="4"/>
        <v>1179.3240000000001</v>
      </c>
      <c r="Y13" s="256">
        <f t="shared" si="5"/>
        <v>496.02367440000006</v>
      </c>
      <c r="Z13" s="252">
        <f t="shared" si="6"/>
        <v>420.6</v>
      </c>
      <c r="AA13" s="265">
        <f t="shared" si="7"/>
        <v>3293.4180426047997</v>
      </c>
      <c r="AB13" s="266">
        <f t="shared" si="9"/>
        <v>1646.7090213023998</v>
      </c>
      <c r="AC13" s="267">
        <f t="shared" si="8"/>
        <v>326.26189199999993</v>
      </c>
    </row>
    <row r="14" spans="1:34" ht="23.45" customHeight="1" x14ac:dyDescent="0.2">
      <c r="A14" s="250">
        <v>11</v>
      </c>
      <c r="B14" s="251" t="s">
        <v>246</v>
      </c>
      <c r="C14" s="552">
        <v>355.8</v>
      </c>
      <c r="D14" s="252"/>
      <c r="E14" s="252"/>
      <c r="F14" s="252"/>
      <c r="G14" s="253">
        <v>2.1419999999999999</v>
      </c>
      <c r="H14" s="254">
        <f t="shared" si="0"/>
        <v>3105.0239999999999</v>
      </c>
      <c r="I14" s="255">
        <f t="shared" si="1"/>
        <v>6650.9614079999992</v>
      </c>
      <c r="J14" s="256">
        <f t="shared" si="2"/>
        <v>2366.4120689664001</v>
      </c>
      <c r="K14" s="257"/>
      <c r="L14" s="257"/>
      <c r="M14" s="257"/>
      <c r="N14" s="257"/>
      <c r="O14" s="258"/>
      <c r="P14" s="259"/>
      <c r="Q14" s="259"/>
      <c r="R14" s="260"/>
      <c r="S14" s="261">
        <v>37.6</v>
      </c>
      <c r="T14" s="262"/>
      <c r="U14" s="262"/>
      <c r="V14" s="262">
        <v>2.5499999999999998</v>
      </c>
      <c r="W14" s="263">
        <f t="shared" si="3"/>
        <v>2.6774999999999998</v>
      </c>
      <c r="X14" s="264">
        <f t="shared" si="4"/>
        <v>1179.3240000000001</v>
      </c>
      <c r="Y14" s="256">
        <f t="shared" si="5"/>
        <v>419.60347920000004</v>
      </c>
      <c r="Z14" s="252">
        <f t="shared" si="6"/>
        <v>355.8</v>
      </c>
      <c r="AA14" s="265">
        <f t="shared" si="7"/>
        <v>2786.0155481664001</v>
      </c>
      <c r="AB14" s="266">
        <f t="shared" si="9"/>
        <v>1393.0077740832</v>
      </c>
      <c r="AC14" s="267">
        <f t="shared" si="8"/>
        <v>326.26189199999999</v>
      </c>
    </row>
    <row r="15" spans="1:34" ht="23.45" customHeight="1" x14ac:dyDescent="0.2">
      <c r="A15" s="250">
        <v>12</v>
      </c>
      <c r="B15" s="251" t="s">
        <v>247</v>
      </c>
      <c r="C15" s="552"/>
      <c r="D15" s="252"/>
      <c r="E15" s="252"/>
      <c r="F15" s="252"/>
      <c r="G15" s="253"/>
      <c r="H15" s="254"/>
      <c r="I15" s="255"/>
      <c r="J15" s="256"/>
      <c r="K15" s="252">
        <v>255.1</v>
      </c>
      <c r="L15" s="252"/>
      <c r="M15" s="252"/>
      <c r="N15" s="252"/>
      <c r="O15" s="253">
        <v>4.8600000000000003</v>
      </c>
      <c r="P15" s="255">
        <v>1000</v>
      </c>
      <c r="Q15" s="255">
        <f>+P15*O15</f>
        <v>4860</v>
      </c>
      <c r="R15" s="256">
        <f>Q15*K15/1000</f>
        <v>1239.7860000000001</v>
      </c>
      <c r="S15" s="261">
        <v>37.6</v>
      </c>
      <c r="T15" s="262"/>
      <c r="U15" s="262"/>
      <c r="V15" s="262">
        <v>2.5499999999999998</v>
      </c>
      <c r="W15" s="263">
        <f t="shared" si="3"/>
        <v>2.6774999999999998</v>
      </c>
      <c r="X15" s="264">
        <f t="shared" si="4"/>
        <v>1179.3240000000001</v>
      </c>
      <c r="Y15" s="256">
        <f t="shared" si="5"/>
        <v>300.84555239999997</v>
      </c>
      <c r="Z15" s="252">
        <f>+C15+K15</f>
        <v>255.1</v>
      </c>
      <c r="AA15" s="265">
        <f t="shared" si="7"/>
        <v>1540.6315524000001</v>
      </c>
      <c r="AB15" s="266">
        <f t="shared" si="9"/>
        <v>770.31577620000007</v>
      </c>
      <c r="AC15" s="267">
        <f t="shared" si="8"/>
        <v>251.63850000000005</v>
      </c>
      <c r="AH15" s="246" t="s">
        <v>248</v>
      </c>
    </row>
    <row r="16" spans="1:34" ht="23.45" customHeight="1" x14ac:dyDescent="0.2">
      <c r="A16" s="250">
        <v>13</v>
      </c>
      <c r="B16" s="251" t="s">
        <v>249</v>
      </c>
      <c r="C16" s="552">
        <v>661.4</v>
      </c>
      <c r="D16" s="252"/>
      <c r="E16" s="252"/>
      <c r="F16" s="252"/>
      <c r="G16" s="253">
        <v>2.1419999999999999</v>
      </c>
      <c r="H16" s="254">
        <f t="shared" si="0"/>
        <v>3105.0239999999999</v>
      </c>
      <c r="I16" s="255">
        <f t="shared" si="1"/>
        <v>6650.9614079999992</v>
      </c>
      <c r="J16" s="256">
        <f t="shared" si="2"/>
        <v>4398.9458752511991</v>
      </c>
      <c r="K16" s="252"/>
      <c r="L16" s="252"/>
      <c r="M16" s="252"/>
      <c r="N16" s="252"/>
      <c r="O16" s="253"/>
      <c r="P16" s="255"/>
      <c r="Q16" s="255"/>
      <c r="R16" s="256"/>
      <c r="S16" s="261">
        <v>37.6</v>
      </c>
      <c r="T16" s="262"/>
      <c r="U16" s="262"/>
      <c r="V16" s="262">
        <v>2.5499999999999998</v>
      </c>
      <c r="W16" s="263">
        <f t="shared" si="3"/>
        <v>2.6774999999999998</v>
      </c>
      <c r="X16" s="264">
        <f t="shared" si="4"/>
        <v>1179.3240000000001</v>
      </c>
      <c r="Y16" s="256">
        <f t="shared" si="5"/>
        <v>780.00489360000006</v>
      </c>
      <c r="Z16" s="252">
        <f t="shared" si="6"/>
        <v>661.4</v>
      </c>
      <c r="AA16" s="265">
        <f t="shared" si="7"/>
        <v>5178.9507688511994</v>
      </c>
      <c r="AB16" s="266">
        <f t="shared" si="9"/>
        <v>2589.4753844255997</v>
      </c>
      <c r="AC16" s="267">
        <f t="shared" si="8"/>
        <v>326.26189199999993</v>
      </c>
    </row>
    <row r="17" spans="1:32" ht="23.45" customHeight="1" x14ac:dyDescent="0.2">
      <c r="A17" s="250">
        <v>14</v>
      </c>
      <c r="B17" s="251" t="s">
        <v>250</v>
      </c>
      <c r="C17" s="552">
        <v>178.5</v>
      </c>
      <c r="D17" s="252"/>
      <c r="E17" s="252"/>
      <c r="F17" s="252"/>
      <c r="G17" s="253">
        <v>2.1419999999999999</v>
      </c>
      <c r="H17" s="254">
        <f t="shared" si="0"/>
        <v>3105.0239999999999</v>
      </c>
      <c r="I17" s="255">
        <f t="shared" si="1"/>
        <v>6650.9614079999992</v>
      </c>
      <c r="J17" s="256">
        <f t="shared" si="2"/>
        <v>1187.196611328</v>
      </c>
      <c r="K17" s="252"/>
      <c r="L17" s="252"/>
      <c r="M17" s="252"/>
      <c r="N17" s="252"/>
      <c r="O17" s="253"/>
      <c r="P17" s="255"/>
      <c r="Q17" s="255"/>
      <c r="R17" s="256"/>
      <c r="S17" s="261">
        <v>37.6</v>
      </c>
      <c r="T17" s="262"/>
      <c r="U17" s="262"/>
      <c r="V17" s="262">
        <v>2.5499999999999998</v>
      </c>
      <c r="W17" s="263">
        <f t="shared" si="3"/>
        <v>2.6774999999999998</v>
      </c>
      <c r="X17" s="264">
        <f t="shared" si="4"/>
        <v>1179.3240000000001</v>
      </c>
      <c r="Y17" s="256">
        <f t="shared" si="5"/>
        <v>210.509334</v>
      </c>
      <c r="Z17" s="252">
        <f t="shared" si="6"/>
        <v>178.5</v>
      </c>
      <c r="AA17" s="265">
        <f t="shared" si="7"/>
        <v>1397.7059453280001</v>
      </c>
      <c r="AB17" s="266">
        <f t="shared" si="9"/>
        <v>698.85297266400005</v>
      </c>
      <c r="AC17" s="267">
        <f t="shared" si="8"/>
        <v>326.26189200000005</v>
      </c>
    </row>
    <row r="18" spans="1:32" ht="23.45" customHeight="1" x14ac:dyDescent="0.2">
      <c r="A18" s="250">
        <v>15</v>
      </c>
      <c r="B18" s="251" t="s">
        <v>251</v>
      </c>
      <c r="C18" s="552">
        <v>257.7</v>
      </c>
      <c r="D18" s="252"/>
      <c r="E18" s="252"/>
      <c r="F18" s="252"/>
      <c r="G18" s="253">
        <v>2.1419999999999999</v>
      </c>
      <c r="H18" s="254">
        <f t="shared" si="0"/>
        <v>3105.0239999999999</v>
      </c>
      <c r="I18" s="255">
        <f t="shared" si="1"/>
        <v>6650.9614079999992</v>
      </c>
      <c r="J18" s="256">
        <f t="shared" si="2"/>
        <v>1713.9527548415997</v>
      </c>
      <c r="K18" s="252"/>
      <c r="L18" s="252"/>
      <c r="M18" s="252"/>
      <c r="N18" s="252"/>
      <c r="O18" s="253"/>
      <c r="P18" s="255"/>
      <c r="Q18" s="255"/>
      <c r="R18" s="256"/>
      <c r="S18" s="261">
        <v>37.6</v>
      </c>
      <c r="T18" s="262"/>
      <c r="U18" s="262"/>
      <c r="V18" s="262">
        <v>2.5499999999999998</v>
      </c>
      <c r="W18" s="263">
        <f t="shared" si="3"/>
        <v>2.6774999999999998</v>
      </c>
      <c r="X18" s="264">
        <f t="shared" si="4"/>
        <v>1179.3240000000001</v>
      </c>
      <c r="Y18" s="256">
        <f t="shared" si="5"/>
        <v>303.91179480000005</v>
      </c>
      <c r="Z18" s="252">
        <f t="shared" si="6"/>
        <v>257.7</v>
      </c>
      <c r="AA18" s="265">
        <f t="shared" si="7"/>
        <v>2017.8645496415998</v>
      </c>
      <c r="AB18" s="266">
        <f t="shared" si="9"/>
        <v>1008.9322748207999</v>
      </c>
      <c r="AC18" s="267">
        <f t="shared" si="8"/>
        <v>326.26189199999993</v>
      </c>
    </row>
    <row r="19" spans="1:32" ht="23.45" customHeight="1" x14ac:dyDescent="0.2">
      <c r="A19" s="250">
        <v>16</v>
      </c>
      <c r="B19" s="251" t="s">
        <v>252</v>
      </c>
      <c r="C19" s="552">
        <v>304.5</v>
      </c>
      <c r="D19" s="252"/>
      <c r="E19" s="252"/>
      <c r="F19" s="252"/>
      <c r="G19" s="253">
        <v>2.1419999999999999</v>
      </c>
      <c r="H19" s="254">
        <f t="shared" si="0"/>
        <v>3105.0239999999999</v>
      </c>
      <c r="I19" s="255">
        <f t="shared" si="1"/>
        <v>6650.9614079999992</v>
      </c>
      <c r="J19" s="256">
        <f t="shared" si="2"/>
        <v>2025.2177487359997</v>
      </c>
      <c r="K19" s="252"/>
      <c r="L19" s="252"/>
      <c r="M19" s="252"/>
      <c r="N19" s="252"/>
      <c r="O19" s="253"/>
      <c r="P19" s="255"/>
      <c r="Q19" s="255"/>
      <c r="R19" s="256"/>
      <c r="S19" s="261">
        <v>37.6</v>
      </c>
      <c r="T19" s="262"/>
      <c r="U19" s="262"/>
      <c r="V19" s="262">
        <v>3.55</v>
      </c>
      <c r="W19" s="263">
        <f t="shared" si="3"/>
        <v>3.7275</v>
      </c>
      <c r="X19" s="264">
        <f t="shared" si="4"/>
        <v>1641.8039999999999</v>
      </c>
      <c r="Y19" s="256">
        <f t="shared" si="5"/>
        <v>499.92931799999997</v>
      </c>
      <c r="Z19" s="252">
        <f t="shared" si="6"/>
        <v>304.5</v>
      </c>
      <c r="AA19" s="265">
        <f t="shared" si="7"/>
        <v>2525.1470667359999</v>
      </c>
      <c r="AB19" s="266">
        <f t="shared" si="9"/>
        <v>1262.573533368</v>
      </c>
      <c r="AC19" s="267">
        <f t="shared" si="8"/>
        <v>345.53189199999997</v>
      </c>
    </row>
    <row r="20" spans="1:32" ht="23.45" customHeight="1" x14ac:dyDescent="0.2">
      <c r="A20" s="250">
        <v>17</v>
      </c>
      <c r="B20" s="251" t="s">
        <v>253</v>
      </c>
      <c r="C20" s="252"/>
      <c r="D20" s="252"/>
      <c r="E20" s="252"/>
      <c r="F20" s="252"/>
      <c r="G20" s="253"/>
      <c r="H20" s="255"/>
      <c r="I20" s="255"/>
      <c r="J20" s="256"/>
      <c r="K20" s="252">
        <v>54.5</v>
      </c>
      <c r="L20" s="252"/>
      <c r="M20" s="252"/>
      <c r="N20" s="252"/>
      <c r="O20" s="253">
        <v>4.8600000000000003</v>
      </c>
      <c r="P20" s="255">
        <v>1000</v>
      </c>
      <c r="Q20" s="255">
        <f t="shared" ref="Q20" si="10">+P20*O20</f>
        <v>4860</v>
      </c>
      <c r="R20" s="256">
        <f>Q20*K20/1000</f>
        <v>264.87</v>
      </c>
      <c r="S20" s="261">
        <v>37.6</v>
      </c>
      <c r="T20" s="262"/>
      <c r="U20" s="262"/>
      <c r="V20" s="262">
        <v>4.55</v>
      </c>
      <c r="W20" s="263">
        <f t="shared" si="3"/>
        <v>4.7774999999999999</v>
      </c>
      <c r="X20" s="264">
        <f t="shared" si="4"/>
        <v>2104.2840000000001</v>
      </c>
      <c r="Y20" s="256">
        <f t="shared" si="5"/>
        <v>114.68347800000001</v>
      </c>
      <c r="Z20" s="252">
        <f>+C20+K20</f>
        <v>54.5</v>
      </c>
      <c r="AA20" s="265">
        <f t="shared" si="7"/>
        <v>379.55347800000004</v>
      </c>
      <c r="AB20" s="266">
        <f t="shared" si="9"/>
        <v>189.77673900000002</v>
      </c>
      <c r="AC20" s="267">
        <f t="shared" si="8"/>
        <v>290.17850000000004</v>
      </c>
    </row>
    <row r="21" spans="1:32" ht="23.45" customHeight="1" x14ac:dyDescent="0.2">
      <c r="A21" s="250">
        <v>18</v>
      </c>
      <c r="B21" s="268" t="s">
        <v>206</v>
      </c>
      <c r="C21" s="252"/>
      <c r="D21" s="252"/>
      <c r="E21" s="252"/>
      <c r="F21" s="252"/>
      <c r="G21" s="253"/>
      <c r="H21" s="254"/>
      <c r="I21" s="255"/>
      <c r="J21" s="256"/>
      <c r="K21" s="252"/>
      <c r="L21" s="252"/>
      <c r="M21" s="252"/>
      <c r="N21" s="252"/>
      <c r="O21" s="253"/>
      <c r="P21" s="255"/>
      <c r="Q21" s="255"/>
      <c r="R21" s="256"/>
      <c r="S21" s="261"/>
      <c r="T21" s="262"/>
      <c r="U21" s="262"/>
      <c r="V21" s="262"/>
      <c r="W21" s="263"/>
      <c r="X21" s="264"/>
      <c r="Y21" s="256"/>
      <c r="Z21" s="252"/>
      <c r="AA21" s="265"/>
      <c r="AB21" s="266"/>
      <c r="AC21" s="267"/>
    </row>
    <row r="22" spans="1:32" ht="23.45" customHeight="1" x14ac:dyDescent="0.2">
      <c r="A22" s="250">
        <v>19</v>
      </c>
      <c r="B22" s="268" t="s">
        <v>205</v>
      </c>
      <c r="C22" s="252"/>
      <c r="D22" s="252"/>
      <c r="E22" s="252"/>
      <c r="F22" s="252"/>
      <c r="G22" s="253"/>
      <c r="H22" s="254"/>
      <c r="I22" s="255"/>
      <c r="J22" s="256"/>
      <c r="K22" s="252"/>
      <c r="L22" s="252"/>
      <c r="M22" s="252"/>
      <c r="N22" s="252"/>
      <c r="O22" s="253"/>
      <c r="P22" s="255"/>
      <c r="Q22" s="255"/>
      <c r="R22" s="256"/>
      <c r="S22" s="261"/>
      <c r="T22" s="262"/>
      <c r="U22" s="262"/>
      <c r="V22" s="262"/>
      <c r="W22" s="263"/>
      <c r="X22" s="264"/>
      <c r="Y22" s="256"/>
      <c r="Z22" s="252"/>
      <c r="AA22" s="265"/>
      <c r="AB22" s="266"/>
      <c r="AC22" s="267"/>
    </row>
    <row r="23" spans="1:32" s="275" customFormat="1" ht="17.25" customHeight="1" x14ac:dyDescent="0.2">
      <c r="A23" s="269" t="s">
        <v>155</v>
      </c>
      <c r="B23" s="270" t="s">
        <v>128</v>
      </c>
      <c r="C23" s="269">
        <f>SUM(C4:C22)</f>
        <v>6237.82</v>
      </c>
      <c r="D23" s="269">
        <f>SUM(D4:D20)</f>
        <v>0</v>
      </c>
      <c r="E23" s="269">
        <f>SUM(E4:E20)</f>
        <v>0</v>
      </c>
      <c r="F23" s="269">
        <f>SUM(F4:F20)</f>
        <v>0</v>
      </c>
      <c r="G23" s="247" t="s">
        <v>155</v>
      </c>
      <c r="H23" s="247" t="s">
        <v>155</v>
      </c>
      <c r="I23" s="266">
        <f>SUM(I4:I22)</f>
        <v>99764.421120000028</v>
      </c>
      <c r="J23" s="271">
        <f>SUM(J4:J22)</f>
        <v>41487.500090050555</v>
      </c>
      <c r="K23" s="269">
        <f t="shared" ref="K23:N23" si="11">SUM(K4:K20)</f>
        <v>309.60000000000002</v>
      </c>
      <c r="L23" s="269">
        <f t="shared" si="11"/>
        <v>0</v>
      </c>
      <c r="M23" s="269">
        <f t="shared" si="11"/>
        <v>0</v>
      </c>
      <c r="N23" s="269">
        <f t="shared" si="11"/>
        <v>0</v>
      </c>
      <c r="O23" s="247" t="s">
        <v>155</v>
      </c>
      <c r="P23" s="247" t="s">
        <v>155</v>
      </c>
      <c r="Q23" s="247" t="s">
        <v>155</v>
      </c>
      <c r="R23" s="271">
        <f>SUM(R4:R20)</f>
        <v>1504.6559999999999</v>
      </c>
      <c r="S23" s="247" t="s">
        <v>155</v>
      </c>
      <c r="T23" s="247" t="s">
        <v>155</v>
      </c>
      <c r="U23" s="247" t="s">
        <v>155</v>
      </c>
      <c r="V23" s="247" t="s">
        <v>155</v>
      </c>
      <c r="W23" s="247" t="s">
        <v>155</v>
      </c>
      <c r="X23" s="247" t="s">
        <v>155</v>
      </c>
      <c r="Y23" s="271">
        <f>SUM(Y4:Y22)</f>
        <v>7912.7650240800021</v>
      </c>
      <c r="Z23" s="272">
        <f>SUM(Z4:Z22)</f>
        <v>6547.42</v>
      </c>
      <c r="AA23" s="266">
        <f>SUM(AA4:AA22)</f>
        <v>50904.921114130557</v>
      </c>
      <c r="AB23" s="273">
        <f>SUM(AB4:AB22)</f>
        <v>25452.460557065278</v>
      </c>
      <c r="AC23" s="247" t="s">
        <v>155</v>
      </c>
      <c r="AD23" s="274"/>
      <c r="AE23" s="274"/>
      <c r="AF23" s="274"/>
    </row>
    <row r="24" spans="1:32" ht="25.5" x14ac:dyDescent="0.2">
      <c r="A24" s="276">
        <v>1</v>
      </c>
      <c r="B24" s="277" t="s">
        <v>254</v>
      </c>
      <c r="C24" s="553">
        <v>84</v>
      </c>
      <c r="D24" s="279"/>
      <c r="E24" s="279"/>
      <c r="F24" s="279"/>
      <c r="G24" s="253">
        <v>2.1419999999999999</v>
      </c>
      <c r="H24" s="254">
        <f>2985.6*1.04</f>
        <v>3105.0239999999999</v>
      </c>
      <c r="I24" s="255">
        <f>+G24*H24</f>
        <v>6650.9614079999992</v>
      </c>
      <c r="J24" s="256">
        <f>I24*C24/1000</f>
        <v>558.68075827199993</v>
      </c>
      <c r="K24" s="280"/>
      <c r="L24" s="280"/>
      <c r="M24" s="280"/>
      <c r="N24" s="280"/>
      <c r="O24" s="280"/>
      <c r="P24" s="280"/>
      <c r="Q24" s="280"/>
      <c r="R24" s="260"/>
      <c r="S24" s="261">
        <v>37.6</v>
      </c>
      <c r="T24" s="262"/>
      <c r="U24" s="262"/>
      <c r="V24" s="262">
        <v>5.55</v>
      </c>
      <c r="W24" s="263">
        <f t="shared" ref="W24:W34" si="12">V24*1.05</f>
        <v>5.8274999999999997</v>
      </c>
      <c r="X24" s="264">
        <f t="shared" ref="X24:X33" si="13">(S24*V24*6)+(S24*W24*6)</f>
        <v>2566.7640000000001</v>
      </c>
      <c r="Y24" s="256">
        <f>Z24*X24/1000</f>
        <v>215.60817600000001</v>
      </c>
      <c r="Z24" s="252">
        <f>+C24+K24</f>
        <v>84</v>
      </c>
      <c r="AA24" s="265">
        <f>SUM(J24+R24+Y24)</f>
        <v>774.28893427200001</v>
      </c>
      <c r="AB24" s="266">
        <f>AA24/2</f>
        <v>387.144467136</v>
      </c>
      <c r="AC24" s="267">
        <f t="shared" ref="AC24:AC35" si="14">AB24/Z24/12*1000</f>
        <v>384.07189199999999</v>
      </c>
    </row>
    <row r="25" spans="1:32" ht="38.25" x14ac:dyDescent="0.2">
      <c r="A25" s="276">
        <v>2</v>
      </c>
      <c r="B25" s="277" t="s">
        <v>255</v>
      </c>
      <c r="C25" s="553">
        <v>102</v>
      </c>
      <c r="D25" s="279"/>
      <c r="E25" s="279"/>
      <c r="F25" s="279"/>
      <c r="G25" s="253">
        <v>2.1419999999999999</v>
      </c>
      <c r="H25" s="254">
        <f t="shared" si="0"/>
        <v>3105.0239999999999</v>
      </c>
      <c r="I25" s="255">
        <f t="shared" ref="I25:I27" si="15">+G25*H25</f>
        <v>6650.9614079999992</v>
      </c>
      <c r="J25" s="256">
        <f t="shared" ref="J25:J27" si="16">I25*C25/1000</f>
        <v>678.39806361599983</v>
      </c>
      <c r="K25" s="280"/>
      <c r="L25" s="280"/>
      <c r="M25" s="280"/>
      <c r="N25" s="280"/>
      <c r="O25" s="280"/>
      <c r="P25" s="280"/>
      <c r="Q25" s="280"/>
      <c r="R25" s="260"/>
      <c r="S25" s="261">
        <v>37.6</v>
      </c>
      <c r="T25" s="262"/>
      <c r="U25" s="262"/>
      <c r="V25" s="262">
        <v>5.55</v>
      </c>
      <c r="W25" s="263">
        <f t="shared" si="12"/>
        <v>5.8274999999999997</v>
      </c>
      <c r="X25" s="264">
        <f t="shared" si="13"/>
        <v>2566.7640000000001</v>
      </c>
      <c r="Y25" s="256">
        <f t="shared" ref="Y25:Y34" si="17">Z25*X25/1000</f>
        <v>261.80992800000001</v>
      </c>
      <c r="Z25" s="252">
        <f t="shared" ref="Z25:Z33" si="18">+C25+K25</f>
        <v>102</v>
      </c>
      <c r="AA25" s="265">
        <f t="shared" ref="AA25:AA34" si="19">SUM(J25+R25+Y25)</f>
        <v>940.20799161599984</v>
      </c>
      <c r="AB25" s="266">
        <f t="shared" ref="AB25:AB34" si="20">AA25/2</f>
        <v>470.10399580799992</v>
      </c>
      <c r="AC25" s="267">
        <f t="shared" si="14"/>
        <v>384.07189199999993</v>
      </c>
    </row>
    <row r="26" spans="1:32" ht="25.5" x14ac:dyDescent="0.2">
      <c r="A26" s="276">
        <v>3</v>
      </c>
      <c r="B26" s="277" t="s">
        <v>256</v>
      </c>
      <c r="C26" s="553">
        <v>78</v>
      </c>
      <c r="D26" s="279"/>
      <c r="E26" s="279" t="s">
        <v>257</v>
      </c>
      <c r="F26" s="279"/>
      <c r="G26" s="253">
        <v>2.1419999999999999</v>
      </c>
      <c r="H26" s="254">
        <f t="shared" si="0"/>
        <v>3105.0239999999999</v>
      </c>
      <c r="I26" s="255">
        <f t="shared" si="15"/>
        <v>6650.9614079999992</v>
      </c>
      <c r="J26" s="256">
        <f t="shared" si="16"/>
        <v>518.77498982399993</v>
      </c>
      <c r="K26" s="280"/>
      <c r="L26" s="280"/>
      <c r="M26" s="280"/>
      <c r="N26" s="280"/>
      <c r="O26" s="280"/>
      <c r="P26" s="280"/>
      <c r="Q26" s="280"/>
      <c r="R26" s="260"/>
      <c r="S26" s="261">
        <v>37.6</v>
      </c>
      <c r="T26" s="262"/>
      <c r="U26" s="262"/>
      <c r="V26" s="262">
        <v>5.55</v>
      </c>
      <c r="W26" s="263">
        <f t="shared" si="12"/>
        <v>5.8274999999999997</v>
      </c>
      <c r="X26" s="264">
        <f t="shared" si="13"/>
        <v>2566.7640000000001</v>
      </c>
      <c r="Y26" s="256">
        <f>Z26*X26/1000</f>
        <v>200.20759200000001</v>
      </c>
      <c r="Z26" s="252">
        <f t="shared" si="18"/>
        <v>78</v>
      </c>
      <c r="AA26" s="265">
        <f t="shared" si="19"/>
        <v>718.98258182399991</v>
      </c>
      <c r="AB26" s="266">
        <f t="shared" si="20"/>
        <v>359.49129091199995</v>
      </c>
      <c r="AC26" s="267">
        <f t="shared" si="14"/>
        <v>384.07189199999993</v>
      </c>
    </row>
    <row r="27" spans="1:32" x14ac:dyDescent="0.2">
      <c r="A27" s="276">
        <v>4</v>
      </c>
      <c r="B27" s="277" t="s">
        <v>258</v>
      </c>
      <c r="C27" s="553">
        <v>38</v>
      </c>
      <c r="D27" s="279"/>
      <c r="E27" s="279" t="s">
        <v>259</v>
      </c>
      <c r="F27" s="279"/>
      <c r="G27" s="253">
        <v>2.1419999999999999</v>
      </c>
      <c r="H27" s="254">
        <f t="shared" si="0"/>
        <v>3105.0239999999999</v>
      </c>
      <c r="I27" s="255">
        <f t="shared" si="15"/>
        <v>6650.9614079999992</v>
      </c>
      <c r="J27" s="256">
        <f t="shared" si="16"/>
        <v>252.73653350399996</v>
      </c>
      <c r="K27" s="280"/>
      <c r="L27" s="280"/>
      <c r="M27" s="280"/>
      <c r="N27" s="280"/>
      <c r="O27" s="280"/>
      <c r="P27" s="280"/>
      <c r="Q27" s="280"/>
      <c r="R27" s="260"/>
      <c r="S27" s="261">
        <v>37.6</v>
      </c>
      <c r="T27" s="262"/>
      <c r="U27" s="262"/>
      <c r="V27" s="262">
        <v>5.55</v>
      </c>
      <c r="W27" s="263">
        <f t="shared" si="12"/>
        <v>5.8274999999999997</v>
      </c>
      <c r="X27" s="264">
        <f t="shared" si="13"/>
        <v>2566.7640000000001</v>
      </c>
      <c r="Y27" s="256">
        <f t="shared" si="17"/>
        <v>97.537032000000011</v>
      </c>
      <c r="Z27" s="252">
        <f t="shared" si="18"/>
        <v>38</v>
      </c>
      <c r="AA27" s="265">
        <f t="shared" si="19"/>
        <v>350.27356550399998</v>
      </c>
      <c r="AB27" s="266">
        <f t="shared" si="20"/>
        <v>175.13678275199999</v>
      </c>
      <c r="AC27" s="267">
        <f t="shared" si="14"/>
        <v>384.07189199999999</v>
      </c>
    </row>
    <row r="28" spans="1:32" s="291" customFormat="1" ht="25.5" x14ac:dyDescent="0.2">
      <c r="A28" s="281" t="s">
        <v>155</v>
      </c>
      <c r="B28" s="282" t="s">
        <v>260</v>
      </c>
      <c r="C28" s="554">
        <v>171</v>
      </c>
      <c r="D28" s="284"/>
      <c r="E28" s="284"/>
      <c r="F28" s="284"/>
      <c r="G28" s="247" t="s">
        <v>155</v>
      </c>
      <c r="H28" s="247" t="s">
        <v>155</v>
      </c>
      <c r="I28" s="285">
        <f>SUM(I24:I27)</f>
        <v>26603.845631999997</v>
      </c>
      <c r="J28" s="286">
        <f>SUM(J24:J27)</f>
        <v>2008.5903452159996</v>
      </c>
      <c r="K28" s="287"/>
      <c r="L28" s="287"/>
      <c r="M28" s="287"/>
      <c r="N28" s="287"/>
      <c r="O28" s="287"/>
      <c r="P28" s="287"/>
      <c r="Q28" s="287"/>
      <c r="R28" s="288"/>
      <c r="S28" s="247" t="s">
        <v>155</v>
      </c>
      <c r="T28" s="247" t="s">
        <v>155</v>
      </c>
      <c r="U28" s="247" t="s">
        <v>155</v>
      </c>
      <c r="V28" s="247" t="s">
        <v>155</v>
      </c>
      <c r="W28" s="247" t="s">
        <v>155</v>
      </c>
      <c r="X28" s="247" t="s">
        <v>155</v>
      </c>
      <c r="Y28" s="271">
        <f>SUM(Y24:Y27)</f>
        <v>775.16272800000002</v>
      </c>
      <c r="Z28" s="272">
        <f>+C28+K28</f>
        <v>171</v>
      </c>
      <c r="AA28" s="266">
        <f>SUM(J28+R28+Y28)</f>
        <v>2783.7530732159994</v>
      </c>
      <c r="AB28" s="273">
        <f t="shared" si="20"/>
        <v>1391.8765366079997</v>
      </c>
      <c r="AC28" s="289">
        <f t="shared" si="14"/>
        <v>678.30240575438575</v>
      </c>
      <c r="AD28" s="290"/>
      <c r="AE28" s="290"/>
      <c r="AF28" s="290"/>
    </row>
    <row r="29" spans="1:32" s="291" customFormat="1" ht="25.5" x14ac:dyDescent="0.2">
      <c r="A29" s="281" t="s">
        <v>155</v>
      </c>
      <c r="B29" s="292" t="s">
        <v>261</v>
      </c>
      <c r="C29" s="554">
        <v>81.5</v>
      </c>
      <c r="D29" s="284"/>
      <c r="E29" s="284"/>
      <c r="F29" s="284"/>
      <c r="G29" s="247">
        <v>2.1419999999999999</v>
      </c>
      <c r="H29" s="293">
        <f t="shared" si="0"/>
        <v>3105.0239999999999</v>
      </c>
      <c r="I29" s="294">
        <f t="shared" ref="I29:I33" si="21">+G29*H29</f>
        <v>6650.9614079999992</v>
      </c>
      <c r="J29" s="271">
        <f t="shared" ref="J29:J33" si="22">I29*C29/1000</f>
        <v>542.0533547519999</v>
      </c>
      <c r="K29" s="287"/>
      <c r="L29" s="287"/>
      <c r="M29" s="287"/>
      <c r="N29" s="287"/>
      <c r="O29" s="287"/>
      <c r="P29" s="287"/>
      <c r="Q29" s="287"/>
      <c r="R29" s="288"/>
      <c r="S29" s="295">
        <v>37.6</v>
      </c>
      <c r="T29" s="296"/>
      <c r="U29" s="296"/>
      <c r="V29" s="296">
        <v>5.55</v>
      </c>
      <c r="W29" s="297">
        <f t="shared" si="12"/>
        <v>5.8274999999999997</v>
      </c>
      <c r="X29" s="298">
        <f t="shared" si="13"/>
        <v>2566.7640000000001</v>
      </c>
      <c r="Y29" s="271">
        <f t="shared" si="17"/>
        <v>209.19126600000001</v>
      </c>
      <c r="Z29" s="272">
        <f t="shared" si="18"/>
        <v>81.5</v>
      </c>
      <c r="AA29" s="266">
        <f t="shared" si="19"/>
        <v>751.24462075199995</v>
      </c>
      <c r="AB29" s="273">
        <f t="shared" si="20"/>
        <v>375.62231037599997</v>
      </c>
      <c r="AC29" s="289">
        <f t="shared" si="14"/>
        <v>384.07189199999999</v>
      </c>
      <c r="AD29" s="290"/>
      <c r="AE29" s="290"/>
      <c r="AF29" s="290"/>
    </row>
    <row r="30" spans="1:32" ht="51" x14ac:dyDescent="0.2">
      <c r="A30" s="276">
        <v>1</v>
      </c>
      <c r="B30" s="299" t="s">
        <v>262</v>
      </c>
      <c r="C30" s="553">
        <v>56</v>
      </c>
      <c r="D30" s="279"/>
      <c r="E30" s="279"/>
      <c r="F30" s="279"/>
      <c r="G30" s="253">
        <v>2.1419999999999999</v>
      </c>
      <c r="H30" s="254">
        <f t="shared" si="0"/>
        <v>3105.0239999999999</v>
      </c>
      <c r="I30" s="255">
        <f t="shared" si="21"/>
        <v>6650.9614079999992</v>
      </c>
      <c r="J30" s="256">
        <f t="shared" si="22"/>
        <v>372.45383884799992</v>
      </c>
      <c r="K30" s="280"/>
      <c r="L30" s="280"/>
      <c r="M30" s="280"/>
      <c r="N30" s="280"/>
      <c r="O30" s="280"/>
      <c r="P30" s="280"/>
      <c r="Q30" s="280"/>
      <c r="R30" s="260"/>
      <c r="S30" s="261">
        <v>37.6</v>
      </c>
      <c r="T30" s="262"/>
      <c r="U30" s="262"/>
      <c r="V30" s="262">
        <v>5.55</v>
      </c>
      <c r="W30" s="263">
        <f t="shared" si="12"/>
        <v>5.8274999999999997</v>
      </c>
      <c r="X30" s="264">
        <f t="shared" si="13"/>
        <v>2566.7640000000001</v>
      </c>
      <c r="Y30" s="256">
        <f t="shared" si="17"/>
        <v>143.73878400000001</v>
      </c>
      <c r="Z30" s="252">
        <f>+C30+K30</f>
        <v>56</v>
      </c>
      <c r="AA30" s="265">
        <f>SUM(J30+R30+Y30)</f>
        <v>516.19262284799993</v>
      </c>
      <c r="AB30" s="266">
        <f>AA30/2</f>
        <v>258.09631142399996</v>
      </c>
      <c r="AC30" s="267">
        <f t="shared" si="14"/>
        <v>384.07189199999993</v>
      </c>
    </row>
    <row r="31" spans="1:32" ht="63.75" x14ac:dyDescent="0.2">
      <c r="A31" s="276">
        <v>2</v>
      </c>
      <c r="B31" s="299" t="s">
        <v>263</v>
      </c>
      <c r="C31" s="553">
        <v>60</v>
      </c>
      <c r="D31" s="279"/>
      <c r="E31" s="279"/>
      <c r="F31" s="279"/>
      <c r="G31" s="253">
        <v>2.1419999999999999</v>
      </c>
      <c r="H31" s="254">
        <f t="shared" si="0"/>
        <v>3105.0239999999999</v>
      </c>
      <c r="I31" s="255">
        <f t="shared" si="21"/>
        <v>6650.9614079999992</v>
      </c>
      <c r="J31" s="256">
        <f t="shared" si="22"/>
        <v>399.05768447999992</v>
      </c>
      <c r="K31" s="280"/>
      <c r="L31" s="280"/>
      <c r="M31" s="280"/>
      <c r="N31" s="280"/>
      <c r="O31" s="280"/>
      <c r="P31" s="280"/>
      <c r="Q31" s="280"/>
      <c r="R31" s="260"/>
      <c r="S31" s="261">
        <v>37.6</v>
      </c>
      <c r="T31" s="262"/>
      <c r="U31" s="262"/>
      <c r="V31" s="262">
        <v>5.55</v>
      </c>
      <c r="W31" s="263">
        <f t="shared" si="12"/>
        <v>5.8274999999999997</v>
      </c>
      <c r="X31" s="264">
        <f t="shared" si="13"/>
        <v>2566.7640000000001</v>
      </c>
      <c r="Y31" s="256">
        <f>Z31*X31/1000</f>
        <v>154.00584000000001</v>
      </c>
      <c r="Z31" s="252">
        <f t="shared" si="18"/>
        <v>60</v>
      </c>
      <c r="AA31" s="265">
        <f t="shared" si="19"/>
        <v>553.06352447999996</v>
      </c>
      <c r="AB31" s="266">
        <f t="shared" si="20"/>
        <v>276.53176223999998</v>
      </c>
      <c r="AC31" s="267">
        <f t="shared" si="14"/>
        <v>384.07189199999999</v>
      </c>
    </row>
    <row r="32" spans="1:32" ht="51" x14ac:dyDescent="0.2">
      <c r="A32" s="276">
        <v>3</v>
      </c>
      <c r="B32" s="299" t="s">
        <v>264</v>
      </c>
      <c r="C32" s="553">
        <v>96</v>
      </c>
      <c r="D32" s="279"/>
      <c r="E32" s="279"/>
      <c r="F32" s="279"/>
      <c r="G32" s="253">
        <v>2.1419999999999999</v>
      </c>
      <c r="H32" s="254">
        <f t="shared" si="0"/>
        <v>3105.0239999999999</v>
      </c>
      <c r="I32" s="255">
        <f t="shared" si="21"/>
        <v>6650.9614079999992</v>
      </c>
      <c r="J32" s="256">
        <f t="shared" si="22"/>
        <v>638.49229516799994</v>
      </c>
      <c r="K32" s="280"/>
      <c r="L32" s="280"/>
      <c r="M32" s="280"/>
      <c r="N32" s="280"/>
      <c r="O32" s="280"/>
      <c r="P32" s="280"/>
      <c r="Q32" s="280"/>
      <c r="R32" s="260"/>
      <c r="S32" s="261">
        <v>37.6</v>
      </c>
      <c r="T32" s="262"/>
      <c r="U32" s="262"/>
      <c r="V32" s="262">
        <v>5.55</v>
      </c>
      <c r="W32" s="263">
        <f t="shared" si="12"/>
        <v>5.8274999999999997</v>
      </c>
      <c r="X32" s="264">
        <f t="shared" si="13"/>
        <v>2566.7640000000001</v>
      </c>
      <c r="Y32" s="256">
        <f t="shared" si="17"/>
        <v>246.409344</v>
      </c>
      <c r="Z32" s="252">
        <f t="shared" si="18"/>
        <v>96</v>
      </c>
      <c r="AA32" s="265">
        <f t="shared" si="19"/>
        <v>884.90163916799997</v>
      </c>
      <c r="AB32" s="266">
        <f t="shared" si="20"/>
        <v>442.45081958399999</v>
      </c>
      <c r="AC32" s="267">
        <f t="shared" si="14"/>
        <v>384.07189199999999</v>
      </c>
    </row>
    <row r="33" spans="1:32" ht="39.75" customHeight="1" x14ac:dyDescent="0.2">
      <c r="A33" s="276">
        <v>4</v>
      </c>
      <c r="B33" s="300" t="s">
        <v>265</v>
      </c>
      <c r="C33" s="553">
        <v>122</v>
      </c>
      <c r="D33" s="279"/>
      <c r="E33" s="279"/>
      <c r="F33" s="279"/>
      <c r="G33" s="253">
        <v>2.1419999999999999</v>
      </c>
      <c r="H33" s="254">
        <f t="shared" si="0"/>
        <v>3105.0239999999999</v>
      </c>
      <c r="I33" s="255">
        <f t="shared" si="21"/>
        <v>6650.9614079999992</v>
      </c>
      <c r="J33" s="256">
        <f t="shared" si="22"/>
        <v>811.41729177599996</v>
      </c>
      <c r="K33" s="280"/>
      <c r="L33" s="280"/>
      <c r="M33" s="280"/>
      <c r="N33" s="280"/>
      <c r="O33" s="280"/>
      <c r="P33" s="280"/>
      <c r="Q33" s="280"/>
      <c r="R33" s="260"/>
      <c r="S33" s="261">
        <v>37.6</v>
      </c>
      <c r="T33" s="262"/>
      <c r="U33" s="262"/>
      <c r="V33" s="262">
        <v>5.55</v>
      </c>
      <c r="W33" s="263">
        <f t="shared" si="12"/>
        <v>5.8274999999999997</v>
      </c>
      <c r="X33" s="264">
        <f t="shared" si="13"/>
        <v>2566.7640000000001</v>
      </c>
      <c r="Y33" s="256">
        <f t="shared" si="17"/>
        <v>313.14520800000003</v>
      </c>
      <c r="Z33" s="252">
        <f t="shared" si="18"/>
        <v>122</v>
      </c>
      <c r="AA33" s="265">
        <f t="shared" si="19"/>
        <v>1124.5624997760001</v>
      </c>
      <c r="AB33" s="266">
        <f t="shared" si="20"/>
        <v>562.28124988800005</v>
      </c>
      <c r="AC33" s="267">
        <f t="shared" si="14"/>
        <v>384.0718920000001</v>
      </c>
    </row>
    <row r="34" spans="1:32" s="291" customFormat="1" x14ac:dyDescent="0.2">
      <c r="A34" s="281" t="s">
        <v>155</v>
      </c>
      <c r="B34" s="282" t="s">
        <v>266</v>
      </c>
      <c r="C34" s="301">
        <f>SUM(C30:C33)</f>
        <v>334</v>
      </c>
      <c r="D34" s="287"/>
      <c r="E34" s="287"/>
      <c r="F34" s="287"/>
      <c r="G34" s="247" t="s">
        <v>155</v>
      </c>
      <c r="H34" s="247" t="s">
        <v>155</v>
      </c>
      <c r="I34" s="302">
        <f>SUM(I30:I33)</f>
        <v>26603.845631999997</v>
      </c>
      <c r="J34" s="303">
        <f>SUM(J30:J33)</f>
        <v>2221.4211102720001</v>
      </c>
      <c r="K34" s="302">
        <f>SUM(K30:K33)</f>
        <v>0</v>
      </c>
      <c r="L34" s="287"/>
      <c r="M34" s="287"/>
      <c r="N34" s="287"/>
      <c r="O34" s="247" t="s">
        <v>155</v>
      </c>
      <c r="P34" s="247" t="s">
        <v>155</v>
      </c>
      <c r="Q34" s="247" t="s">
        <v>155</v>
      </c>
      <c r="R34" s="303">
        <f>SUM(R30:R33)</f>
        <v>0</v>
      </c>
      <c r="S34" s="295">
        <v>37.6</v>
      </c>
      <c r="T34" s="296"/>
      <c r="U34" s="296"/>
      <c r="V34" s="296">
        <v>5.55</v>
      </c>
      <c r="W34" s="297">
        <f t="shared" si="12"/>
        <v>5.8274999999999997</v>
      </c>
      <c r="X34" s="298">
        <f>(S34*V34*6)+(S34*W34*6)</f>
        <v>2566.7640000000001</v>
      </c>
      <c r="Y34" s="271">
        <f t="shared" si="17"/>
        <v>857.2991760000001</v>
      </c>
      <c r="Z34" s="304">
        <f>+C34+K34</f>
        <v>334</v>
      </c>
      <c r="AA34" s="266">
        <f t="shared" si="19"/>
        <v>3078.7202862720001</v>
      </c>
      <c r="AB34" s="273">
        <f t="shared" si="20"/>
        <v>1539.360143136</v>
      </c>
      <c r="AC34" s="289">
        <f t="shared" si="14"/>
        <v>384.07189199999999</v>
      </c>
      <c r="AD34" s="290"/>
      <c r="AE34" s="290"/>
      <c r="AF34" s="290"/>
    </row>
    <row r="35" spans="1:32" s="291" customFormat="1" x14ac:dyDescent="0.2">
      <c r="A35" s="281" t="s">
        <v>155</v>
      </c>
      <c r="B35" s="305" t="s">
        <v>90</v>
      </c>
      <c r="C35" s="306">
        <f>C34+C28+C29+C23</f>
        <v>6824.32</v>
      </c>
      <c r="D35" s="287"/>
      <c r="E35" s="287"/>
      <c r="F35" s="287"/>
      <c r="G35" s="247" t="s">
        <v>155</v>
      </c>
      <c r="H35" s="247" t="s">
        <v>155</v>
      </c>
      <c r="I35" s="307">
        <f>I34+I28+I29+I23</f>
        <v>159623.07379200001</v>
      </c>
      <c r="J35" s="308">
        <f>J34+J28+J29+J23</f>
        <v>46259.564900290556</v>
      </c>
      <c r="K35" s="306">
        <f>K34+K28+K29+K23</f>
        <v>309.60000000000002</v>
      </c>
      <c r="L35" s="287"/>
      <c r="M35" s="287"/>
      <c r="N35" s="287"/>
      <c r="O35" s="247" t="s">
        <v>155</v>
      </c>
      <c r="P35" s="247" t="s">
        <v>155</v>
      </c>
      <c r="Q35" s="247" t="s">
        <v>155</v>
      </c>
      <c r="R35" s="309">
        <f>R34+R28+R29+R23</f>
        <v>1504.6559999999999</v>
      </c>
      <c r="S35" s="247" t="s">
        <v>155</v>
      </c>
      <c r="T35" s="247" t="s">
        <v>155</v>
      </c>
      <c r="U35" s="247" t="s">
        <v>155</v>
      </c>
      <c r="V35" s="247" t="s">
        <v>155</v>
      </c>
      <c r="W35" s="247" t="s">
        <v>155</v>
      </c>
      <c r="X35" s="247" t="s">
        <v>155</v>
      </c>
      <c r="Y35" s="309">
        <f>Y34+Y28+Y29+Y23</f>
        <v>9754.4181940800026</v>
      </c>
      <c r="Z35" s="310">
        <f>+C35+K35</f>
        <v>7133.92</v>
      </c>
      <c r="AA35" s="266">
        <f>SUM(J35+R35+Y35)</f>
        <v>57518.639094370563</v>
      </c>
      <c r="AB35" s="273">
        <f>AA35/2</f>
        <v>28759.319547185281</v>
      </c>
      <c r="AC35" s="289">
        <f t="shared" si="14"/>
        <v>335.94573001455586</v>
      </c>
      <c r="AD35" s="290"/>
      <c r="AE35" s="290"/>
      <c r="AF35" s="290"/>
    </row>
    <row r="36" spans="1:32" x14ac:dyDescent="0.2">
      <c r="A36" s="276"/>
      <c r="B36" s="280"/>
    </row>
    <row r="38" spans="1:32" ht="20.25" x14ac:dyDescent="0.3">
      <c r="Q38" s="551"/>
    </row>
    <row r="39" spans="1:32" ht="20.25" x14ac:dyDescent="0.3">
      <c r="Q39" s="551"/>
    </row>
    <row r="40" spans="1:32" ht="20.25" x14ac:dyDescent="0.3">
      <c r="Q40" s="551" t="s">
        <v>450</v>
      </c>
    </row>
    <row r="41" spans="1:32" ht="20.25" x14ac:dyDescent="0.3">
      <c r="Q41" s="551"/>
    </row>
    <row r="42" spans="1:32" ht="20.25" x14ac:dyDescent="0.3">
      <c r="Q42" s="551"/>
    </row>
  </sheetData>
  <mergeCells count="10">
    <mergeCell ref="AA2:AA3"/>
    <mergeCell ref="AB2:AB3"/>
    <mergeCell ref="AC2:AC3"/>
    <mergeCell ref="C1:Z1"/>
    <mergeCell ref="A2:A3"/>
    <mergeCell ref="B2:B3"/>
    <mergeCell ref="C2:J2"/>
    <mergeCell ref="K2:R2"/>
    <mergeCell ref="S2:Y2"/>
    <mergeCell ref="Z2:Z3"/>
  </mergeCells>
  <printOptions horizontalCentered="1"/>
  <pageMargins left="0.23622047244094491" right="0.23622047244094491" top="1.3385826771653544" bottom="0.74803149606299213" header="0.31496062992125984" footer="0.31496062992125984"/>
  <pageSetup paperSize="9" scale="4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H36"/>
  <sheetViews>
    <sheetView view="pageBreakPreview" zoomScale="70" zoomScaleNormal="100" zoomScaleSheetLayoutView="70" workbookViewId="0">
      <pane xSplit="2" ySplit="3" topLeftCell="C13" activePane="bottomRight" state="frozen"/>
      <selection activeCell="P16" sqref="P16"/>
      <selection pane="topRight" activeCell="P16" sqref="P16"/>
      <selection pane="bottomLeft" activeCell="P16" sqref="P16"/>
      <selection pane="bottomRight" activeCell="S43" sqref="S43"/>
    </sheetView>
  </sheetViews>
  <sheetFormatPr defaultRowHeight="12.75" x14ac:dyDescent="0.2"/>
  <cols>
    <col min="1" max="1" width="4.42578125" style="245" customWidth="1"/>
    <col min="2" max="2" width="19.7109375" style="245" customWidth="1"/>
    <col min="3" max="3" width="14.85546875" style="245" customWidth="1"/>
    <col min="4" max="4" width="13.140625" style="245" hidden="1" customWidth="1"/>
    <col min="5" max="5" width="12.140625" style="245" hidden="1" customWidth="1"/>
    <col min="6" max="6" width="12.5703125" style="245" hidden="1" customWidth="1"/>
    <col min="7" max="7" width="14.85546875" style="245" customWidth="1"/>
    <col min="8" max="8" width="16.140625" style="245" customWidth="1"/>
    <col min="9" max="9" width="16.5703125" style="245" customWidth="1"/>
    <col min="10" max="10" width="16.7109375" style="245" customWidth="1"/>
    <col min="11" max="11" width="15.28515625" style="245" customWidth="1"/>
    <col min="12" max="12" width="12.42578125" style="245" hidden="1" customWidth="1"/>
    <col min="13" max="13" width="12.28515625" style="245" hidden="1" customWidth="1"/>
    <col min="14" max="14" width="11.7109375" style="245" hidden="1" customWidth="1"/>
    <col min="15" max="15" width="13.7109375" style="245" customWidth="1"/>
    <col min="16" max="16" width="14" style="245" customWidth="1"/>
    <col min="17" max="17" width="15" style="245" customWidth="1"/>
    <col min="18" max="19" width="16.140625" style="245" customWidth="1"/>
    <col min="20" max="21" width="0" style="245" hidden="1" customWidth="1"/>
    <col min="22" max="22" width="13" style="245" customWidth="1"/>
    <col min="23" max="23" width="13.140625" style="245" customWidth="1"/>
    <col min="24" max="24" width="14.7109375" style="245" customWidth="1"/>
    <col min="25" max="25" width="17.7109375" style="245" customWidth="1"/>
    <col min="26" max="26" width="15.5703125" style="245" customWidth="1"/>
    <col min="27" max="27" width="16.5703125" style="245" customWidth="1"/>
    <col min="28" max="28" width="19.42578125" style="245" customWidth="1"/>
    <col min="29" max="29" width="17.85546875" style="245" customWidth="1"/>
    <col min="30" max="32" width="9.140625" style="245"/>
    <col min="33" max="16384" width="9.140625" style="246"/>
  </cols>
  <sheetData>
    <row r="1" spans="1:34" ht="32.25" customHeight="1" x14ac:dyDescent="0.2">
      <c r="C1" s="749" t="s">
        <v>207</v>
      </c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749"/>
      <c r="Z1" s="749"/>
    </row>
    <row r="2" spans="1:34" ht="39" customHeight="1" x14ac:dyDescent="0.2">
      <c r="A2" s="750" t="s">
        <v>208</v>
      </c>
      <c r="B2" s="750" t="s">
        <v>209</v>
      </c>
      <c r="C2" s="748" t="s">
        <v>210</v>
      </c>
      <c r="D2" s="748"/>
      <c r="E2" s="748"/>
      <c r="F2" s="748"/>
      <c r="G2" s="748"/>
      <c r="H2" s="748"/>
      <c r="I2" s="748"/>
      <c r="J2" s="748"/>
      <c r="K2" s="748" t="s">
        <v>211</v>
      </c>
      <c r="L2" s="748"/>
      <c r="M2" s="748"/>
      <c r="N2" s="748"/>
      <c r="O2" s="748"/>
      <c r="P2" s="748"/>
      <c r="Q2" s="748"/>
      <c r="R2" s="748"/>
      <c r="S2" s="748" t="s">
        <v>212</v>
      </c>
      <c r="T2" s="748"/>
      <c r="U2" s="748"/>
      <c r="V2" s="748"/>
      <c r="W2" s="748"/>
      <c r="X2" s="748"/>
      <c r="Y2" s="748"/>
      <c r="Z2" s="748" t="s">
        <v>213</v>
      </c>
      <c r="AA2" s="748" t="s">
        <v>214</v>
      </c>
      <c r="AB2" s="748" t="s">
        <v>215</v>
      </c>
      <c r="AC2" s="748" t="s">
        <v>216</v>
      </c>
    </row>
    <row r="3" spans="1:34" ht="78.75" customHeight="1" x14ac:dyDescent="0.2">
      <c r="A3" s="750"/>
      <c r="B3" s="750"/>
      <c r="C3" s="633" t="s">
        <v>217</v>
      </c>
      <c r="D3" s="633" t="s">
        <v>218</v>
      </c>
      <c r="E3" s="633" t="s">
        <v>219</v>
      </c>
      <c r="F3" s="633" t="s">
        <v>220</v>
      </c>
      <c r="G3" s="633" t="s">
        <v>221</v>
      </c>
      <c r="H3" s="633" t="s">
        <v>222</v>
      </c>
      <c r="I3" s="633" t="s">
        <v>223</v>
      </c>
      <c r="J3" s="634" t="s">
        <v>224</v>
      </c>
      <c r="K3" s="633" t="s">
        <v>217</v>
      </c>
      <c r="L3" s="633" t="s">
        <v>218</v>
      </c>
      <c r="M3" s="633" t="s">
        <v>219</v>
      </c>
      <c r="N3" s="633" t="s">
        <v>220</v>
      </c>
      <c r="O3" s="633" t="s">
        <v>225</v>
      </c>
      <c r="P3" s="633" t="s">
        <v>226</v>
      </c>
      <c r="Q3" s="633" t="s">
        <v>227</v>
      </c>
      <c r="R3" s="634" t="s">
        <v>228</v>
      </c>
      <c r="S3" s="633" t="s">
        <v>229</v>
      </c>
      <c r="T3" s="633" t="s">
        <v>230</v>
      </c>
      <c r="U3" s="633" t="s">
        <v>231</v>
      </c>
      <c r="V3" s="633" t="s">
        <v>232</v>
      </c>
      <c r="W3" s="633" t="s">
        <v>233</v>
      </c>
      <c r="X3" s="633" t="s">
        <v>234</v>
      </c>
      <c r="Y3" s="635" t="s">
        <v>235</v>
      </c>
      <c r="Z3" s="748"/>
      <c r="AA3" s="748"/>
      <c r="AB3" s="748"/>
      <c r="AC3" s="748"/>
    </row>
    <row r="4" spans="1:34" ht="23.45" customHeight="1" x14ac:dyDescent="0.2">
      <c r="A4" s="636">
        <v>1</v>
      </c>
      <c r="B4" s="637" t="s">
        <v>236</v>
      </c>
      <c r="C4" s="252">
        <v>383</v>
      </c>
      <c r="D4" s="252"/>
      <c r="E4" s="252"/>
      <c r="F4" s="252"/>
      <c r="G4" s="638">
        <v>2.1419999999999999</v>
      </c>
      <c r="H4" s="639">
        <f>2985.6*1.04</f>
        <v>3105.0239999999999</v>
      </c>
      <c r="I4" s="640">
        <f>+G4*H4</f>
        <v>6650.9614079999992</v>
      </c>
      <c r="J4" s="256">
        <f>I4*C4/1000</f>
        <v>2547.3182192639997</v>
      </c>
      <c r="K4" s="257"/>
      <c r="L4" s="257"/>
      <c r="M4" s="257"/>
      <c r="N4" s="257"/>
      <c r="O4" s="641"/>
      <c r="P4" s="642"/>
      <c r="Q4" s="642"/>
      <c r="R4" s="260"/>
      <c r="S4" s="261">
        <v>37.6</v>
      </c>
      <c r="T4" s="643"/>
      <c r="U4" s="643"/>
      <c r="V4" s="643">
        <v>2.5499999999999998</v>
      </c>
      <c r="W4" s="263">
        <f>V4*1.05</f>
        <v>2.6774999999999998</v>
      </c>
      <c r="X4" s="644">
        <f>(S4*V4*6)+(S4*W4*6)</f>
        <v>1179.3240000000001</v>
      </c>
      <c r="Y4" s="256">
        <f>Z4*X4/1000</f>
        <v>451.68109199999998</v>
      </c>
      <c r="Z4" s="252">
        <f>+C4+K4</f>
        <v>383</v>
      </c>
      <c r="AA4" s="265">
        <f>SUM(J4+R4+Y4)</f>
        <v>2998.9993112639995</v>
      </c>
      <c r="AB4" s="266">
        <f>AA4/2</f>
        <v>1499.4996556319998</v>
      </c>
      <c r="AC4" s="267">
        <f>AB4/Z4/12*1000</f>
        <v>326.26189199999993</v>
      </c>
    </row>
    <row r="5" spans="1:34" ht="23.45" customHeight="1" x14ac:dyDescent="0.2">
      <c r="A5" s="636">
        <v>2</v>
      </c>
      <c r="B5" s="637" t="s">
        <v>237</v>
      </c>
      <c r="C5" s="252">
        <v>434</v>
      </c>
      <c r="D5" s="252"/>
      <c r="E5" s="252"/>
      <c r="F5" s="252"/>
      <c r="G5" s="638">
        <v>2.1419999999999999</v>
      </c>
      <c r="H5" s="639">
        <f t="shared" ref="H5:H33" si="0">2985.6*1.04</f>
        <v>3105.0239999999999</v>
      </c>
      <c r="I5" s="640">
        <f t="shared" ref="I5:I19" si="1">+G5*H5</f>
        <v>6650.9614079999992</v>
      </c>
      <c r="J5" s="256">
        <f t="shared" ref="J5:J19" si="2">I5*C5/1000</f>
        <v>2886.5172510719999</v>
      </c>
      <c r="K5" s="257"/>
      <c r="L5" s="257"/>
      <c r="M5" s="257"/>
      <c r="N5" s="257"/>
      <c r="O5" s="641"/>
      <c r="P5" s="642"/>
      <c r="Q5" s="642"/>
      <c r="R5" s="260"/>
      <c r="S5" s="261">
        <v>37.6</v>
      </c>
      <c r="T5" s="643"/>
      <c r="U5" s="643"/>
      <c r="V5" s="643">
        <v>2.5499999999999998</v>
      </c>
      <c r="W5" s="263">
        <f t="shared" ref="W5:W20" si="3">V5*1.05</f>
        <v>2.6774999999999998</v>
      </c>
      <c r="X5" s="644">
        <f t="shared" ref="X5:X20" si="4">(S5*V5*6)+(S5*W5*6)</f>
        <v>1179.3240000000001</v>
      </c>
      <c r="Y5" s="256">
        <f t="shared" ref="Y5:Y20" si="5">Z5*X5/1000</f>
        <v>511.82661600000006</v>
      </c>
      <c r="Z5" s="252">
        <f t="shared" ref="Z5:Z19" si="6">+C5+K5</f>
        <v>434</v>
      </c>
      <c r="AA5" s="265">
        <f t="shared" ref="AA5:AA20" si="7">SUM(J5+R5+Y5)</f>
        <v>3398.3438670719997</v>
      </c>
      <c r="AB5" s="266">
        <f>AA5/2</f>
        <v>1699.1719335359999</v>
      </c>
      <c r="AC5" s="267">
        <f t="shared" ref="AC5:AC20" si="8">AB5/Z5/12*1000</f>
        <v>326.26189199999993</v>
      </c>
    </row>
    <row r="6" spans="1:34" ht="23.45" customHeight="1" x14ac:dyDescent="0.2">
      <c r="A6" s="636">
        <v>3</v>
      </c>
      <c r="B6" s="637" t="s">
        <v>238</v>
      </c>
      <c r="C6" s="252">
        <v>735</v>
      </c>
      <c r="D6" s="252"/>
      <c r="E6" s="252"/>
      <c r="F6" s="252"/>
      <c r="G6" s="638">
        <v>2.1419999999999999</v>
      </c>
      <c r="H6" s="639">
        <f t="shared" si="0"/>
        <v>3105.0239999999999</v>
      </c>
      <c r="I6" s="640">
        <f t="shared" si="1"/>
        <v>6650.9614079999992</v>
      </c>
      <c r="J6" s="256">
        <f t="shared" si="2"/>
        <v>4888.4566348799999</v>
      </c>
      <c r="K6" s="257"/>
      <c r="L6" s="257"/>
      <c r="M6" s="257"/>
      <c r="N6" s="257"/>
      <c r="O6" s="641"/>
      <c r="P6" s="642"/>
      <c r="Q6" s="642"/>
      <c r="R6" s="260"/>
      <c r="S6" s="261">
        <v>37.6</v>
      </c>
      <c r="T6" s="643"/>
      <c r="U6" s="643"/>
      <c r="V6" s="643">
        <v>2.5499999999999998</v>
      </c>
      <c r="W6" s="263">
        <f t="shared" si="3"/>
        <v>2.6774999999999998</v>
      </c>
      <c r="X6" s="644">
        <f t="shared" si="4"/>
        <v>1179.3240000000001</v>
      </c>
      <c r="Y6" s="256">
        <f t="shared" si="5"/>
        <v>866.80313999999998</v>
      </c>
      <c r="Z6" s="252">
        <f t="shared" si="6"/>
        <v>735</v>
      </c>
      <c r="AA6" s="265">
        <f t="shared" si="7"/>
        <v>5755.2597748799999</v>
      </c>
      <c r="AB6" s="266">
        <f t="shared" ref="AB6:AB20" si="9">AA6/2</f>
        <v>2877.6298874399999</v>
      </c>
      <c r="AC6" s="267">
        <f t="shared" si="8"/>
        <v>326.26189199999999</v>
      </c>
    </row>
    <row r="7" spans="1:34" ht="23.45" customHeight="1" x14ac:dyDescent="0.2">
      <c r="A7" s="636">
        <v>4</v>
      </c>
      <c r="B7" s="637" t="s">
        <v>239</v>
      </c>
      <c r="C7" s="252">
        <v>492</v>
      </c>
      <c r="D7" s="252"/>
      <c r="E7" s="252"/>
      <c r="F7" s="252"/>
      <c r="G7" s="638">
        <v>2.1419999999999999</v>
      </c>
      <c r="H7" s="639">
        <f t="shared" si="0"/>
        <v>3105.0239999999999</v>
      </c>
      <c r="I7" s="640">
        <f t="shared" si="1"/>
        <v>6650.9614079999992</v>
      </c>
      <c r="J7" s="256">
        <f t="shared" si="2"/>
        <v>3272.2730127359996</v>
      </c>
      <c r="K7" s="257"/>
      <c r="L7" s="257"/>
      <c r="M7" s="257"/>
      <c r="N7" s="257"/>
      <c r="O7" s="641"/>
      <c r="P7" s="642"/>
      <c r="Q7" s="642"/>
      <c r="R7" s="260"/>
      <c r="S7" s="261">
        <v>37.6</v>
      </c>
      <c r="T7" s="643"/>
      <c r="U7" s="643"/>
      <c r="V7" s="643">
        <v>2.5499999999999998</v>
      </c>
      <c r="W7" s="263">
        <f t="shared" si="3"/>
        <v>2.6774999999999998</v>
      </c>
      <c r="X7" s="644">
        <f t="shared" si="4"/>
        <v>1179.3240000000001</v>
      </c>
      <c r="Y7" s="256">
        <f t="shared" si="5"/>
        <v>580.22740800000008</v>
      </c>
      <c r="Z7" s="252">
        <f t="shared" si="6"/>
        <v>492</v>
      </c>
      <c r="AA7" s="265">
        <f t="shared" si="7"/>
        <v>3852.5004207359998</v>
      </c>
      <c r="AB7" s="266">
        <f t="shared" si="9"/>
        <v>1926.2502103679999</v>
      </c>
      <c r="AC7" s="267">
        <f t="shared" si="8"/>
        <v>326.26189199999999</v>
      </c>
    </row>
    <row r="8" spans="1:34" ht="23.45" customHeight="1" x14ac:dyDescent="0.2">
      <c r="A8" s="636">
        <v>5</v>
      </c>
      <c r="B8" s="637" t="s">
        <v>240</v>
      </c>
      <c r="C8" s="252">
        <v>868</v>
      </c>
      <c r="D8" s="252"/>
      <c r="E8" s="252"/>
      <c r="F8" s="252"/>
      <c r="G8" s="638">
        <v>2.1419999999999999</v>
      </c>
      <c r="H8" s="639">
        <f t="shared" si="0"/>
        <v>3105.0239999999999</v>
      </c>
      <c r="I8" s="640">
        <f t="shared" si="1"/>
        <v>6650.9614079999992</v>
      </c>
      <c r="J8" s="256">
        <f t="shared" si="2"/>
        <v>5773.0345021439998</v>
      </c>
      <c r="K8" s="257"/>
      <c r="L8" s="257"/>
      <c r="M8" s="257"/>
      <c r="N8" s="257"/>
      <c r="O8" s="641"/>
      <c r="P8" s="642"/>
      <c r="Q8" s="642"/>
      <c r="R8" s="260"/>
      <c r="S8" s="261">
        <v>37.6</v>
      </c>
      <c r="T8" s="643"/>
      <c r="U8" s="643"/>
      <c r="V8" s="643">
        <v>2.5499999999999998</v>
      </c>
      <c r="W8" s="263">
        <f t="shared" si="3"/>
        <v>2.6774999999999998</v>
      </c>
      <c r="X8" s="644">
        <f t="shared" si="4"/>
        <v>1179.3240000000001</v>
      </c>
      <c r="Y8" s="256">
        <f t="shared" si="5"/>
        <v>1023.6532320000001</v>
      </c>
      <c r="Z8" s="252">
        <f t="shared" si="6"/>
        <v>868</v>
      </c>
      <c r="AA8" s="265">
        <f t="shared" si="7"/>
        <v>6796.6877341439995</v>
      </c>
      <c r="AB8" s="266">
        <f t="shared" si="9"/>
        <v>3398.3438670719997</v>
      </c>
      <c r="AC8" s="267">
        <f t="shared" si="8"/>
        <v>326.26189199999993</v>
      </c>
    </row>
    <row r="9" spans="1:34" ht="23.45" customHeight="1" x14ac:dyDescent="0.2">
      <c r="A9" s="636">
        <v>6</v>
      </c>
      <c r="B9" s="637" t="s">
        <v>241</v>
      </c>
      <c r="C9" s="252">
        <v>215</v>
      </c>
      <c r="D9" s="252"/>
      <c r="E9" s="252"/>
      <c r="F9" s="252"/>
      <c r="G9" s="638">
        <v>2.1419999999999999</v>
      </c>
      <c r="H9" s="639">
        <f t="shared" si="0"/>
        <v>3105.0239999999999</v>
      </c>
      <c r="I9" s="640">
        <f t="shared" si="1"/>
        <v>6650.9614079999992</v>
      </c>
      <c r="J9" s="256">
        <f t="shared" si="2"/>
        <v>1429.9567027199998</v>
      </c>
      <c r="K9" s="257"/>
      <c r="L9" s="257"/>
      <c r="M9" s="257"/>
      <c r="N9" s="257"/>
      <c r="O9" s="641"/>
      <c r="P9" s="642"/>
      <c r="Q9" s="642"/>
      <c r="R9" s="260"/>
      <c r="S9" s="261">
        <v>37.6</v>
      </c>
      <c r="T9" s="643"/>
      <c r="U9" s="643"/>
      <c r="V9" s="643">
        <v>2.5499999999999998</v>
      </c>
      <c r="W9" s="263">
        <f t="shared" si="3"/>
        <v>2.6774999999999998</v>
      </c>
      <c r="X9" s="644">
        <f t="shared" si="4"/>
        <v>1179.3240000000001</v>
      </c>
      <c r="Y9" s="256">
        <f t="shared" si="5"/>
        <v>253.55466000000001</v>
      </c>
      <c r="Z9" s="252">
        <f t="shared" si="6"/>
        <v>215</v>
      </c>
      <c r="AA9" s="265">
        <f t="shared" si="7"/>
        <v>1683.5113627199999</v>
      </c>
      <c r="AB9" s="266">
        <f t="shared" si="9"/>
        <v>841.75568135999993</v>
      </c>
      <c r="AC9" s="267">
        <f t="shared" si="8"/>
        <v>326.26189199999993</v>
      </c>
    </row>
    <row r="10" spans="1:34" ht="23.45" customHeight="1" x14ac:dyDescent="0.2">
      <c r="A10" s="636">
        <v>7</v>
      </c>
      <c r="B10" s="637" t="s">
        <v>242</v>
      </c>
      <c r="C10" s="252">
        <v>256</v>
      </c>
      <c r="D10" s="252"/>
      <c r="E10" s="252"/>
      <c r="F10" s="252"/>
      <c r="G10" s="638">
        <v>2.1419999999999999</v>
      </c>
      <c r="H10" s="639">
        <f t="shared" si="0"/>
        <v>3105.0239999999999</v>
      </c>
      <c r="I10" s="640">
        <f>+G10*H10</f>
        <v>6650.9614079999992</v>
      </c>
      <c r="J10" s="256">
        <f t="shared" si="2"/>
        <v>1702.6461204479997</v>
      </c>
      <c r="K10" s="257"/>
      <c r="L10" s="257"/>
      <c r="M10" s="257"/>
      <c r="N10" s="257"/>
      <c r="O10" s="641"/>
      <c r="P10" s="642"/>
      <c r="Q10" s="642"/>
      <c r="R10" s="260"/>
      <c r="S10" s="261">
        <v>37.6</v>
      </c>
      <c r="T10" s="643"/>
      <c r="U10" s="643"/>
      <c r="V10" s="643">
        <v>2.5499999999999998</v>
      </c>
      <c r="W10" s="263">
        <f t="shared" si="3"/>
        <v>2.6774999999999998</v>
      </c>
      <c r="X10" s="644">
        <f t="shared" si="4"/>
        <v>1179.3240000000001</v>
      </c>
      <c r="Y10" s="256">
        <f t="shared" si="5"/>
        <v>301.90694400000001</v>
      </c>
      <c r="Z10" s="252">
        <f t="shared" si="6"/>
        <v>256</v>
      </c>
      <c r="AA10" s="265">
        <f t="shared" si="7"/>
        <v>2004.5530644479998</v>
      </c>
      <c r="AB10" s="266">
        <f t="shared" si="9"/>
        <v>1002.2765322239999</v>
      </c>
      <c r="AC10" s="267">
        <f t="shared" si="8"/>
        <v>326.26189199999993</v>
      </c>
    </row>
    <row r="11" spans="1:34" ht="23.45" customHeight="1" x14ac:dyDescent="0.2">
      <c r="A11" s="636">
        <v>8</v>
      </c>
      <c r="B11" s="637" t="s">
        <v>243</v>
      </c>
      <c r="C11" s="252">
        <v>308</v>
      </c>
      <c r="D11" s="252"/>
      <c r="E11" s="252"/>
      <c r="F11" s="252"/>
      <c r="G11" s="638">
        <v>2.1419999999999999</v>
      </c>
      <c r="H11" s="639">
        <f t="shared" si="0"/>
        <v>3105.0239999999999</v>
      </c>
      <c r="I11" s="640">
        <f t="shared" si="1"/>
        <v>6650.9614079999992</v>
      </c>
      <c r="J11" s="256">
        <f t="shared" si="2"/>
        <v>2048.4961136639999</v>
      </c>
      <c r="K11" s="257"/>
      <c r="L11" s="257"/>
      <c r="M11" s="257"/>
      <c r="N11" s="257"/>
      <c r="O11" s="641"/>
      <c r="P11" s="642"/>
      <c r="Q11" s="642"/>
      <c r="R11" s="260"/>
      <c r="S11" s="261">
        <v>37.6</v>
      </c>
      <c r="T11" s="643"/>
      <c r="U11" s="643"/>
      <c r="V11" s="643">
        <v>2.5499999999999998</v>
      </c>
      <c r="W11" s="263">
        <f t="shared" si="3"/>
        <v>2.6774999999999998</v>
      </c>
      <c r="X11" s="644">
        <f t="shared" si="4"/>
        <v>1179.3240000000001</v>
      </c>
      <c r="Y11" s="256">
        <f t="shared" si="5"/>
        <v>363.23179200000004</v>
      </c>
      <c r="Z11" s="252">
        <f t="shared" si="6"/>
        <v>308</v>
      </c>
      <c r="AA11" s="265">
        <f t="shared" si="7"/>
        <v>2411.727905664</v>
      </c>
      <c r="AB11" s="266">
        <f t="shared" si="9"/>
        <v>1205.863952832</v>
      </c>
      <c r="AC11" s="267">
        <f t="shared" si="8"/>
        <v>326.26189199999999</v>
      </c>
    </row>
    <row r="12" spans="1:34" ht="23.45" customHeight="1" x14ac:dyDescent="0.2">
      <c r="A12" s="636">
        <v>9</v>
      </c>
      <c r="B12" s="637" t="s">
        <v>244</v>
      </c>
      <c r="C12" s="252">
        <v>370</v>
      </c>
      <c r="D12" s="252"/>
      <c r="E12" s="252"/>
      <c r="F12" s="252"/>
      <c r="G12" s="638">
        <v>2.1419999999999999</v>
      </c>
      <c r="H12" s="639">
        <f t="shared" si="0"/>
        <v>3105.0239999999999</v>
      </c>
      <c r="I12" s="640">
        <f t="shared" si="1"/>
        <v>6650.9614079999992</v>
      </c>
      <c r="J12" s="256">
        <f t="shared" si="2"/>
        <v>2460.8557209599994</v>
      </c>
      <c r="K12" s="257"/>
      <c r="L12" s="257"/>
      <c r="M12" s="257"/>
      <c r="N12" s="257"/>
      <c r="O12" s="641"/>
      <c r="P12" s="642"/>
      <c r="Q12" s="642"/>
      <c r="R12" s="260"/>
      <c r="S12" s="261">
        <v>37.6</v>
      </c>
      <c r="T12" s="643"/>
      <c r="U12" s="643"/>
      <c r="V12" s="643">
        <v>2.5499999999999998</v>
      </c>
      <c r="W12" s="263">
        <f t="shared" si="3"/>
        <v>2.6774999999999998</v>
      </c>
      <c r="X12" s="644">
        <f t="shared" si="4"/>
        <v>1179.3240000000001</v>
      </c>
      <c r="Y12" s="256">
        <f t="shared" si="5"/>
        <v>436.34987999999998</v>
      </c>
      <c r="Z12" s="252">
        <f t="shared" si="6"/>
        <v>370</v>
      </c>
      <c r="AA12" s="265">
        <f t="shared" si="7"/>
        <v>2897.2056009599992</v>
      </c>
      <c r="AB12" s="266">
        <f t="shared" si="9"/>
        <v>1448.6028004799996</v>
      </c>
      <c r="AC12" s="267">
        <f t="shared" si="8"/>
        <v>326.26189199999993</v>
      </c>
    </row>
    <row r="13" spans="1:34" ht="23.45" customHeight="1" x14ac:dyDescent="0.2">
      <c r="A13" s="636">
        <v>10</v>
      </c>
      <c r="B13" s="637" t="s">
        <v>245</v>
      </c>
      <c r="C13" s="252">
        <v>421</v>
      </c>
      <c r="D13" s="252"/>
      <c r="E13" s="252"/>
      <c r="F13" s="252"/>
      <c r="G13" s="638">
        <v>2.1419999999999999</v>
      </c>
      <c r="H13" s="639">
        <f t="shared" si="0"/>
        <v>3105.0239999999999</v>
      </c>
      <c r="I13" s="640">
        <f t="shared" si="1"/>
        <v>6650.9614079999992</v>
      </c>
      <c r="J13" s="256">
        <f t="shared" si="2"/>
        <v>2800.0547527679996</v>
      </c>
      <c r="K13" s="257"/>
      <c r="L13" s="257"/>
      <c r="M13" s="257"/>
      <c r="N13" s="257"/>
      <c r="O13" s="641"/>
      <c r="P13" s="642"/>
      <c r="Q13" s="642"/>
      <c r="R13" s="260"/>
      <c r="S13" s="261">
        <v>37.6</v>
      </c>
      <c r="T13" s="643"/>
      <c r="U13" s="252"/>
      <c r="V13" s="643">
        <v>2.5499999999999998</v>
      </c>
      <c r="W13" s="263">
        <f t="shared" si="3"/>
        <v>2.6774999999999998</v>
      </c>
      <c r="X13" s="644">
        <f t="shared" si="4"/>
        <v>1179.3240000000001</v>
      </c>
      <c r="Y13" s="256">
        <f t="shared" si="5"/>
        <v>496.49540400000006</v>
      </c>
      <c r="Z13" s="252">
        <f t="shared" si="6"/>
        <v>421</v>
      </c>
      <c r="AA13" s="265">
        <f t="shared" si="7"/>
        <v>3296.5501567679999</v>
      </c>
      <c r="AB13" s="266">
        <f t="shared" si="9"/>
        <v>1648.2750783839999</v>
      </c>
      <c r="AC13" s="267">
        <f t="shared" si="8"/>
        <v>326.26189199999999</v>
      </c>
    </row>
    <row r="14" spans="1:34" ht="23.45" customHeight="1" x14ac:dyDescent="0.2">
      <c r="A14" s="636">
        <v>11</v>
      </c>
      <c r="B14" s="637" t="s">
        <v>246</v>
      </c>
      <c r="C14" s="252">
        <v>356</v>
      </c>
      <c r="D14" s="252"/>
      <c r="E14" s="252"/>
      <c r="F14" s="252"/>
      <c r="G14" s="638">
        <v>2.1419999999999999</v>
      </c>
      <c r="H14" s="639">
        <f t="shared" si="0"/>
        <v>3105.0239999999999</v>
      </c>
      <c r="I14" s="640">
        <f t="shared" si="1"/>
        <v>6650.9614079999992</v>
      </c>
      <c r="J14" s="256">
        <f t="shared" si="2"/>
        <v>2367.7422612479995</v>
      </c>
      <c r="K14" s="257"/>
      <c r="L14" s="257"/>
      <c r="M14" s="257"/>
      <c r="N14" s="257"/>
      <c r="O14" s="641"/>
      <c r="P14" s="642"/>
      <c r="Q14" s="642"/>
      <c r="R14" s="260"/>
      <c r="S14" s="261">
        <v>37.6</v>
      </c>
      <c r="T14" s="643"/>
      <c r="U14" s="643"/>
      <c r="V14" s="643">
        <v>2.5499999999999998</v>
      </c>
      <c r="W14" s="263">
        <f t="shared" si="3"/>
        <v>2.6774999999999998</v>
      </c>
      <c r="X14" s="644">
        <f t="shared" si="4"/>
        <v>1179.3240000000001</v>
      </c>
      <c r="Y14" s="256">
        <f t="shared" si="5"/>
        <v>419.83934400000004</v>
      </c>
      <c r="Z14" s="252">
        <f t="shared" si="6"/>
        <v>356</v>
      </c>
      <c r="AA14" s="265">
        <f t="shared" si="7"/>
        <v>2787.5816052479995</v>
      </c>
      <c r="AB14" s="266">
        <f t="shared" si="9"/>
        <v>1393.7908026239998</v>
      </c>
      <c r="AC14" s="267">
        <f t="shared" si="8"/>
        <v>326.26189199999993</v>
      </c>
    </row>
    <row r="15" spans="1:34" ht="23.45" customHeight="1" x14ac:dyDescent="0.2">
      <c r="A15" s="636">
        <v>12</v>
      </c>
      <c r="B15" s="637" t="s">
        <v>247</v>
      </c>
      <c r="C15" s="252"/>
      <c r="D15" s="252"/>
      <c r="E15" s="252"/>
      <c r="F15" s="252"/>
      <c r="G15" s="638"/>
      <c r="H15" s="639"/>
      <c r="I15" s="640"/>
      <c r="J15" s="256"/>
      <c r="K15" s="252">
        <v>255</v>
      </c>
      <c r="L15" s="252"/>
      <c r="M15" s="252"/>
      <c r="N15" s="252"/>
      <c r="O15" s="638">
        <v>4.8600000000000003</v>
      </c>
      <c r="P15" s="640">
        <v>1000</v>
      </c>
      <c r="Q15" s="640">
        <f>+P15*O15</f>
        <v>4860</v>
      </c>
      <c r="R15" s="256">
        <f>Q15*K15/1000</f>
        <v>1239.3</v>
      </c>
      <c r="S15" s="261">
        <v>37.6</v>
      </c>
      <c r="T15" s="643"/>
      <c r="U15" s="643"/>
      <c r="V15" s="643">
        <v>2.5499999999999998</v>
      </c>
      <c r="W15" s="263">
        <f t="shared" si="3"/>
        <v>2.6774999999999998</v>
      </c>
      <c r="X15" s="644">
        <f t="shared" si="4"/>
        <v>1179.3240000000001</v>
      </c>
      <c r="Y15" s="256">
        <f t="shared" si="5"/>
        <v>300.72762</v>
      </c>
      <c r="Z15" s="252">
        <f>+C15+K15</f>
        <v>255</v>
      </c>
      <c r="AA15" s="265">
        <f t="shared" si="7"/>
        <v>1540.0276199999998</v>
      </c>
      <c r="AB15" s="266">
        <f t="shared" si="9"/>
        <v>770.01380999999992</v>
      </c>
      <c r="AC15" s="267">
        <f t="shared" si="8"/>
        <v>251.63849999999999</v>
      </c>
      <c r="AH15" s="246" t="s">
        <v>248</v>
      </c>
    </row>
    <row r="16" spans="1:34" ht="23.45" customHeight="1" x14ac:dyDescent="0.2">
      <c r="A16" s="636">
        <v>13</v>
      </c>
      <c r="B16" s="637" t="s">
        <v>249</v>
      </c>
      <c r="C16" s="252">
        <v>661</v>
      </c>
      <c r="D16" s="252"/>
      <c r="E16" s="252"/>
      <c r="F16" s="252"/>
      <c r="G16" s="638">
        <v>2.1419999999999999</v>
      </c>
      <c r="H16" s="639">
        <f t="shared" si="0"/>
        <v>3105.0239999999999</v>
      </c>
      <c r="I16" s="640">
        <f t="shared" si="1"/>
        <v>6650.9614079999992</v>
      </c>
      <c r="J16" s="256">
        <f t="shared" si="2"/>
        <v>4396.2854906880002</v>
      </c>
      <c r="K16" s="252"/>
      <c r="L16" s="252"/>
      <c r="M16" s="252"/>
      <c r="N16" s="252"/>
      <c r="O16" s="638"/>
      <c r="P16" s="640"/>
      <c r="Q16" s="640"/>
      <c r="R16" s="256"/>
      <c r="S16" s="261">
        <v>37.6</v>
      </c>
      <c r="T16" s="643"/>
      <c r="U16" s="643"/>
      <c r="V16" s="643">
        <v>2.5499999999999998</v>
      </c>
      <c r="W16" s="263">
        <f t="shared" si="3"/>
        <v>2.6774999999999998</v>
      </c>
      <c r="X16" s="644">
        <f t="shared" si="4"/>
        <v>1179.3240000000001</v>
      </c>
      <c r="Y16" s="256">
        <f t="shared" si="5"/>
        <v>779.53316399999994</v>
      </c>
      <c r="Z16" s="252">
        <f t="shared" si="6"/>
        <v>661</v>
      </c>
      <c r="AA16" s="265">
        <f t="shared" si="7"/>
        <v>5175.8186546880006</v>
      </c>
      <c r="AB16" s="266">
        <f t="shared" si="9"/>
        <v>2587.9093273440003</v>
      </c>
      <c r="AC16" s="267">
        <f t="shared" si="8"/>
        <v>326.26189200000005</v>
      </c>
    </row>
    <row r="17" spans="1:32" ht="23.45" customHeight="1" x14ac:dyDescent="0.2">
      <c r="A17" s="636">
        <v>14</v>
      </c>
      <c r="B17" s="637" t="s">
        <v>250</v>
      </c>
      <c r="C17" s="252">
        <v>179</v>
      </c>
      <c r="D17" s="252"/>
      <c r="E17" s="252"/>
      <c r="F17" s="252"/>
      <c r="G17" s="638">
        <v>2.1419999999999999</v>
      </c>
      <c r="H17" s="639">
        <f t="shared" si="0"/>
        <v>3105.0239999999999</v>
      </c>
      <c r="I17" s="640">
        <f t="shared" si="1"/>
        <v>6650.9614079999992</v>
      </c>
      <c r="J17" s="256">
        <f t="shared" si="2"/>
        <v>1190.522092032</v>
      </c>
      <c r="K17" s="252"/>
      <c r="L17" s="252"/>
      <c r="M17" s="252"/>
      <c r="N17" s="252"/>
      <c r="O17" s="638"/>
      <c r="P17" s="640"/>
      <c r="Q17" s="640"/>
      <c r="R17" s="256"/>
      <c r="S17" s="261">
        <v>37.6</v>
      </c>
      <c r="T17" s="643"/>
      <c r="U17" s="643"/>
      <c r="V17" s="643">
        <v>2.5499999999999998</v>
      </c>
      <c r="W17" s="263">
        <f t="shared" si="3"/>
        <v>2.6774999999999998</v>
      </c>
      <c r="X17" s="644">
        <f t="shared" si="4"/>
        <v>1179.3240000000001</v>
      </c>
      <c r="Y17" s="256">
        <f t="shared" si="5"/>
        <v>211.098996</v>
      </c>
      <c r="Z17" s="252">
        <f t="shared" si="6"/>
        <v>179</v>
      </c>
      <c r="AA17" s="265">
        <f t="shared" si="7"/>
        <v>1401.621088032</v>
      </c>
      <c r="AB17" s="266">
        <f t="shared" si="9"/>
        <v>700.81054401599999</v>
      </c>
      <c r="AC17" s="267">
        <f t="shared" si="8"/>
        <v>326.26189199999999</v>
      </c>
    </row>
    <row r="18" spans="1:32" ht="23.45" customHeight="1" x14ac:dyDescent="0.2">
      <c r="A18" s="636">
        <v>15</v>
      </c>
      <c r="B18" s="637" t="s">
        <v>251</v>
      </c>
      <c r="C18" s="252">
        <v>258</v>
      </c>
      <c r="D18" s="252"/>
      <c r="E18" s="252"/>
      <c r="F18" s="252"/>
      <c r="G18" s="638">
        <v>2.1419999999999999</v>
      </c>
      <c r="H18" s="639">
        <f t="shared" si="0"/>
        <v>3105.0239999999999</v>
      </c>
      <c r="I18" s="640">
        <f t="shared" si="1"/>
        <v>6650.9614079999992</v>
      </c>
      <c r="J18" s="256">
        <f t="shared" si="2"/>
        <v>1715.9480432639998</v>
      </c>
      <c r="K18" s="252"/>
      <c r="L18" s="252"/>
      <c r="M18" s="252"/>
      <c r="N18" s="252"/>
      <c r="O18" s="638"/>
      <c r="P18" s="640"/>
      <c r="Q18" s="640"/>
      <c r="R18" s="256"/>
      <c r="S18" s="261">
        <v>37.6</v>
      </c>
      <c r="T18" s="643"/>
      <c r="U18" s="643"/>
      <c r="V18" s="643">
        <v>2.5499999999999998</v>
      </c>
      <c r="W18" s="263">
        <f t="shared" si="3"/>
        <v>2.6774999999999998</v>
      </c>
      <c r="X18" s="644">
        <f t="shared" si="4"/>
        <v>1179.3240000000001</v>
      </c>
      <c r="Y18" s="256">
        <f t="shared" si="5"/>
        <v>304.26559200000003</v>
      </c>
      <c r="Z18" s="252">
        <f t="shared" si="6"/>
        <v>258</v>
      </c>
      <c r="AA18" s="265">
        <f t="shared" si="7"/>
        <v>2020.2136352639998</v>
      </c>
      <c r="AB18" s="266">
        <f t="shared" si="9"/>
        <v>1010.1068176319999</v>
      </c>
      <c r="AC18" s="267">
        <f t="shared" si="8"/>
        <v>326.26189199999993</v>
      </c>
    </row>
    <row r="19" spans="1:32" ht="23.45" customHeight="1" x14ac:dyDescent="0.2">
      <c r="A19" s="636">
        <v>16</v>
      </c>
      <c r="B19" s="637" t="s">
        <v>252</v>
      </c>
      <c r="C19" s="252">
        <v>305</v>
      </c>
      <c r="D19" s="252"/>
      <c r="E19" s="252"/>
      <c r="F19" s="252"/>
      <c r="G19" s="638">
        <v>2.1419999999999999</v>
      </c>
      <c r="H19" s="639">
        <f t="shared" si="0"/>
        <v>3105.0239999999999</v>
      </c>
      <c r="I19" s="640">
        <f t="shared" si="1"/>
        <v>6650.9614079999992</v>
      </c>
      <c r="J19" s="256">
        <f t="shared" si="2"/>
        <v>2028.5432294399998</v>
      </c>
      <c r="K19" s="252"/>
      <c r="L19" s="252"/>
      <c r="M19" s="252"/>
      <c r="N19" s="252"/>
      <c r="O19" s="638"/>
      <c r="P19" s="640"/>
      <c r="Q19" s="640"/>
      <c r="R19" s="256"/>
      <c r="S19" s="261">
        <v>37.6</v>
      </c>
      <c r="T19" s="643"/>
      <c r="U19" s="643"/>
      <c r="V19" s="643">
        <v>3.55</v>
      </c>
      <c r="W19" s="263">
        <f t="shared" si="3"/>
        <v>3.7275</v>
      </c>
      <c r="X19" s="644">
        <f t="shared" si="4"/>
        <v>1641.8039999999999</v>
      </c>
      <c r="Y19" s="256">
        <f t="shared" si="5"/>
        <v>500.75021999999996</v>
      </c>
      <c r="Z19" s="252">
        <f t="shared" si="6"/>
        <v>305</v>
      </c>
      <c r="AA19" s="265">
        <f t="shared" si="7"/>
        <v>2529.2934494399997</v>
      </c>
      <c r="AB19" s="266">
        <f t="shared" si="9"/>
        <v>1264.6467247199998</v>
      </c>
      <c r="AC19" s="267">
        <f t="shared" si="8"/>
        <v>345.53189199999997</v>
      </c>
    </row>
    <row r="20" spans="1:32" ht="23.45" customHeight="1" x14ac:dyDescent="0.2">
      <c r="A20" s="636">
        <v>17</v>
      </c>
      <c r="B20" s="637" t="s">
        <v>253</v>
      </c>
      <c r="C20" s="252"/>
      <c r="D20" s="252"/>
      <c r="E20" s="252"/>
      <c r="F20" s="252"/>
      <c r="G20" s="638"/>
      <c r="H20" s="640"/>
      <c r="I20" s="640"/>
      <c r="J20" s="256"/>
      <c r="K20" s="252">
        <v>55</v>
      </c>
      <c r="L20" s="252"/>
      <c r="M20" s="252"/>
      <c r="N20" s="252"/>
      <c r="O20" s="638">
        <v>4.8600000000000003</v>
      </c>
      <c r="P20" s="640">
        <v>1000</v>
      </c>
      <c r="Q20" s="640">
        <f t="shared" ref="Q20" si="10">+P20*O20</f>
        <v>4860</v>
      </c>
      <c r="R20" s="256">
        <f>Q20*K20/1000</f>
        <v>267.3</v>
      </c>
      <c r="S20" s="261">
        <v>37.6</v>
      </c>
      <c r="T20" s="643"/>
      <c r="U20" s="643"/>
      <c r="V20" s="643">
        <v>4.55</v>
      </c>
      <c r="W20" s="263">
        <f t="shared" si="3"/>
        <v>4.7774999999999999</v>
      </c>
      <c r="X20" s="644">
        <f t="shared" si="4"/>
        <v>2104.2840000000001</v>
      </c>
      <c r="Y20" s="256">
        <f t="shared" si="5"/>
        <v>115.73562000000001</v>
      </c>
      <c r="Z20" s="252">
        <f>+C20+K20</f>
        <v>55</v>
      </c>
      <c r="AA20" s="265">
        <f t="shared" si="7"/>
        <v>383.03561999999999</v>
      </c>
      <c r="AB20" s="266">
        <f t="shared" si="9"/>
        <v>191.51781</v>
      </c>
      <c r="AC20" s="267">
        <f t="shared" si="8"/>
        <v>290.17849999999999</v>
      </c>
    </row>
    <row r="21" spans="1:32" ht="23.45" customHeight="1" x14ac:dyDescent="0.2">
      <c r="A21" s="636">
        <v>18</v>
      </c>
      <c r="B21" s="645" t="s">
        <v>206</v>
      </c>
      <c r="C21" s="252"/>
      <c r="D21" s="252"/>
      <c r="E21" s="252"/>
      <c r="F21" s="252"/>
      <c r="G21" s="638"/>
      <c r="H21" s="639"/>
      <c r="I21" s="640"/>
      <c r="J21" s="256"/>
      <c r="K21" s="252"/>
      <c r="L21" s="252"/>
      <c r="M21" s="252"/>
      <c r="N21" s="252"/>
      <c r="O21" s="638"/>
      <c r="P21" s="640"/>
      <c r="Q21" s="640"/>
      <c r="R21" s="256"/>
      <c r="S21" s="261"/>
      <c r="T21" s="643"/>
      <c r="U21" s="643"/>
      <c r="V21" s="643"/>
      <c r="W21" s="263"/>
      <c r="X21" s="644"/>
      <c r="Y21" s="256"/>
      <c r="Z21" s="252"/>
      <c r="AA21" s="265"/>
      <c r="AB21" s="266"/>
      <c r="AC21" s="267"/>
    </row>
    <row r="22" spans="1:32" ht="23.45" customHeight="1" x14ac:dyDescent="0.2">
      <c r="A22" s="636">
        <v>19</v>
      </c>
      <c r="B22" s="645" t="s">
        <v>205</v>
      </c>
      <c r="C22" s="252"/>
      <c r="D22" s="252"/>
      <c r="E22" s="252"/>
      <c r="F22" s="252"/>
      <c r="G22" s="638"/>
      <c r="H22" s="639"/>
      <c r="I22" s="640"/>
      <c r="J22" s="256"/>
      <c r="K22" s="252"/>
      <c r="L22" s="252"/>
      <c r="M22" s="252"/>
      <c r="N22" s="252"/>
      <c r="O22" s="638"/>
      <c r="P22" s="640"/>
      <c r="Q22" s="640"/>
      <c r="R22" s="256"/>
      <c r="S22" s="261"/>
      <c r="T22" s="643"/>
      <c r="U22" s="643"/>
      <c r="V22" s="643"/>
      <c r="W22" s="263"/>
      <c r="X22" s="644"/>
      <c r="Y22" s="256"/>
      <c r="Z22" s="252"/>
      <c r="AA22" s="265"/>
      <c r="AB22" s="266"/>
      <c r="AC22" s="267"/>
    </row>
    <row r="23" spans="1:32" s="275" customFormat="1" ht="17.25" customHeight="1" x14ac:dyDescent="0.2">
      <c r="A23" s="269" t="s">
        <v>155</v>
      </c>
      <c r="B23" s="646" t="s">
        <v>128</v>
      </c>
      <c r="C23" s="269">
        <f>SUM(C4:C22)</f>
        <v>6241</v>
      </c>
      <c r="D23" s="269">
        <f>SUM(D4:D20)</f>
        <v>0</v>
      </c>
      <c r="E23" s="269">
        <f>SUM(E4:E20)</f>
        <v>0</v>
      </c>
      <c r="F23" s="269">
        <f>SUM(F4:F20)</f>
        <v>0</v>
      </c>
      <c r="G23" s="633" t="s">
        <v>155</v>
      </c>
      <c r="H23" s="633" t="s">
        <v>155</v>
      </c>
      <c r="I23" s="266">
        <f>SUM(I4:I22)</f>
        <v>99764.421120000028</v>
      </c>
      <c r="J23" s="271">
        <f>SUM(J4:J22)</f>
        <v>41508.650147328</v>
      </c>
      <c r="K23" s="269">
        <f t="shared" ref="K23:N23" si="11">SUM(K4:K20)</f>
        <v>310</v>
      </c>
      <c r="L23" s="269">
        <f t="shared" si="11"/>
        <v>0</v>
      </c>
      <c r="M23" s="269">
        <f t="shared" si="11"/>
        <v>0</v>
      </c>
      <c r="N23" s="269">
        <f t="shared" si="11"/>
        <v>0</v>
      </c>
      <c r="O23" s="633" t="s">
        <v>155</v>
      </c>
      <c r="P23" s="633" t="s">
        <v>155</v>
      </c>
      <c r="Q23" s="633" t="s">
        <v>155</v>
      </c>
      <c r="R23" s="271">
        <f>SUM(R4:R20)</f>
        <v>1506.6</v>
      </c>
      <c r="S23" s="633" t="s">
        <v>155</v>
      </c>
      <c r="T23" s="633" t="s">
        <v>155</v>
      </c>
      <c r="U23" s="633" t="s">
        <v>155</v>
      </c>
      <c r="V23" s="633" t="s">
        <v>155</v>
      </c>
      <c r="W23" s="633" t="s">
        <v>155</v>
      </c>
      <c r="X23" s="633" t="s">
        <v>155</v>
      </c>
      <c r="Y23" s="271">
        <f>SUM(Y4:Y22)</f>
        <v>7917.6807239999998</v>
      </c>
      <c r="Z23" s="272">
        <f>SUM(Z4:Z22)</f>
        <v>6551</v>
      </c>
      <c r="AA23" s="266">
        <f>SUM(AA4:AA22)</f>
        <v>50932.930871327997</v>
      </c>
      <c r="AB23" s="273">
        <f>SUM(AB4:AB22)</f>
        <v>25466.465435663999</v>
      </c>
      <c r="AC23" s="633" t="s">
        <v>155</v>
      </c>
      <c r="AD23" s="274"/>
      <c r="AE23" s="274"/>
      <c r="AF23" s="274"/>
    </row>
    <row r="24" spans="1:32" ht="25.5" x14ac:dyDescent="0.2">
      <c r="A24" s="276">
        <v>1</v>
      </c>
      <c r="B24" s="647" t="s">
        <v>254</v>
      </c>
      <c r="C24" s="278">
        <v>41</v>
      </c>
      <c r="D24" s="279"/>
      <c r="E24" s="279"/>
      <c r="F24" s="279"/>
      <c r="G24" s="638">
        <v>2.1419999999999999</v>
      </c>
      <c r="H24" s="639">
        <f>2985.6*1.04</f>
        <v>3105.0239999999999</v>
      </c>
      <c r="I24" s="640">
        <f>+G24*H24</f>
        <v>6650.9614079999992</v>
      </c>
      <c r="J24" s="256">
        <f>I24*C24/1000</f>
        <v>272.68941772799997</v>
      </c>
      <c r="K24" s="280"/>
      <c r="L24" s="280"/>
      <c r="M24" s="280"/>
      <c r="N24" s="280"/>
      <c r="O24" s="280"/>
      <c r="P24" s="280"/>
      <c r="Q24" s="280"/>
      <c r="R24" s="260"/>
      <c r="S24" s="261">
        <v>37.6</v>
      </c>
      <c r="T24" s="643"/>
      <c r="U24" s="643"/>
      <c r="V24" s="643">
        <v>5.55</v>
      </c>
      <c r="W24" s="263">
        <f t="shared" ref="W24:W34" si="12">V24*1.05</f>
        <v>5.8274999999999997</v>
      </c>
      <c r="X24" s="644">
        <f t="shared" ref="X24:X33" si="13">(S24*V24*6)+(S24*W24*6)</f>
        <v>2566.7640000000001</v>
      </c>
      <c r="Y24" s="256">
        <f>Z24*X24/1000</f>
        <v>105.237324</v>
      </c>
      <c r="Z24" s="252">
        <f>+C24+K24</f>
        <v>41</v>
      </c>
      <c r="AA24" s="265">
        <f>SUM(J24+R24+Y24)</f>
        <v>377.92674172799997</v>
      </c>
      <c r="AB24" s="266">
        <f>AA24/2</f>
        <v>188.96337086399998</v>
      </c>
      <c r="AC24" s="267">
        <f t="shared" ref="AC24:AC35" si="14">AB24/Z24/12*1000</f>
        <v>384.07189199999999</v>
      </c>
    </row>
    <row r="25" spans="1:32" ht="38.25" x14ac:dyDescent="0.2">
      <c r="A25" s="276">
        <v>2</v>
      </c>
      <c r="B25" s="647" t="s">
        <v>255</v>
      </c>
      <c r="C25" s="278">
        <v>60</v>
      </c>
      <c r="D25" s="279"/>
      <c r="E25" s="279"/>
      <c r="F25" s="279"/>
      <c r="G25" s="638">
        <v>2.1419999999999999</v>
      </c>
      <c r="H25" s="639">
        <f t="shared" si="0"/>
        <v>3105.0239999999999</v>
      </c>
      <c r="I25" s="640">
        <f t="shared" ref="I25:I27" si="15">+G25*H25</f>
        <v>6650.9614079999992</v>
      </c>
      <c r="J25" s="256">
        <f t="shared" ref="J25:J27" si="16">I25*C25/1000</f>
        <v>399.05768447999992</v>
      </c>
      <c r="K25" s="280"/>
      <c r="L25" s="280"/>
      <c r="M25" s="280"/>
      <c r="N25" s="280"/>
      <c r="O25" s="280"/>
      <c r="P25" s="280"/>
      <c r="Q25" s="280"/>
      <c r="R25" s="260"/>
      <c r="S25" s="261">
        <v>37.6</v>
      </c>
      <c r="T25" s="643"/>
      <c r="U25" s="643"/>
      <c r="V25" s="643">
        <v>5.55</v>
      </c>
      <c r="W25" s="263">
        <f t="shared" si="12"/>
        <v>5.8274999999999997</v>
      </c>
      <c r="X25" s="644">
        <f t="shared" si="13"/>
        <v>2566.7640000000001</v>
      </c>
      <c r="Y25" s="256">
        <f t="shared" ref="Y25:Y34" si="17">Z25*X25/1000</f>
        <v>154.00584000000001</v>
      </c>
      <c r="Z25" s="252">
        <f t="shared" ref="Z25:Z33" si="18">+C25+K25</f>
        <v>60</v>
      </c>
      <c r="AA25" s="265">
        <f t="shared" ref="AA25:AA34" si="19">SUM(J25+R25+Y25)</f>
        <v>553.06352447999996</v>
      </c>
      <c r="AB25" s="266">
        <f t="shared" ref="AB25:AB34" si="20">AA25/2</f>
        <v>276.53176223999998</v>
      </c>
      <c r="AC25" s="267">
        <f t="shared" si="14"/>
        <v>384.07189199999999</v>
      </c>
    </row>
    <row r="26" spans="1:32" ht="25.5" x14ac:dyDescent="0.2">
      <c r="A26" s="276">
        <v>3</v>
      </c>
      <c r="B26" s="647" t="s">
        <v>256</v>
      </c>
      <c r="C26" s="278">
        <v>50</v>
      </c>
      <c r="D26" s="279"/>
      <c r="E26" s="279" t="s">
        <v>257</v>
      </c>
      <c r="F26" s="279"/>
      <c r="G26" s="638">
        <v>2.1419999999999999</v>
      </c>
      <c r="H26" s="639">
        <f t="shared" si="0"/>
        <v>3105.0239999999999</v>
      </c>
      <c r="I26" s="640">
        <f t="shared" si="15"/>
        <v>6650.9614079999992</v>
      </c>
      <c r="J26" s="256">
        <f t="shared" si="16"/>
        <v>332.54807039999997</v>
      </c>
      <c r="K26" s="280"/>
      <c r="L26" s="280"/>
      <c r="M26" s="280"/>
      <c r="N26" s="280"/>
      <c r="O26" s="280"/>
      <c r="P26" s="280"/>
      <c r="Q26" s="280"/>
      <c r="R26" s="260"/>
      <c r="S26" s="261">
        <v>37.6</v>
      </c>
      <c r="T26" s="643"/>
      <c r="U26" s="643"/>
      <c r="V26" s="643">
        <v>5.55</v>
      </c>
      <c r="W26" s="263">
        <f t="shared" si="12"/>
        <v>5.8274999999999997</v>
      </c>
      <c r="X26" s="644">
        <f t="shared" si="13"/>
        <v>2566.7640000000001</v>
      </c>
      <c r="Y26" s="256">
        <f>Z26*X26/1000</f>
        <v>128.3382</v>
      </c>
      <c r="Z26" s="252">
        <f t="shared" si="18"/>
        <v>50</v>
      </c>
      <c r="AA26" s="265">
        <f t="shared" si="19"/>
        <v>460.88627039999994</v>
      </c>
      <c r="AB26" s="266">
        <f t="shared" si="20"/>
        <v>230.44313519999997</v>
      </c>
      <c r="AC26" s="267">
        <f t="shared" si="14"/>
        <v>384.07189199999999</v>
      </c>
    </row>
    <row r="27" spans="1:32" x14ac:dyDescent="0.2">
      <c r="A27" s="276">
        <v>4</v>
      </c>
      <c r="B27" s="647" t="s">
        <v>258</v>
      </c>
      <c r="C27" s="278">
        <v>20</v>
      </c>
      <c r="D27" s="279"/>
      <c r="E27" s="279" t="s">
        <v>259</v>
      </c>
      <c r="F27" s="279"/>
      <c r="G27" s="638">
        <v>2.1419999999999999</v>
      </c>
      <c r="H27" s="639">
        <f t="shared" si="0"/>
        <v>3105.0239999999999</v>
      </c>
      <c r="I27" s="640">
        <f t="shared" si="15"/>
        <v>6650.9614079999992</v>
      </c>
      <c r="J27" s="256">
        <f t="shared" si="16"/>
        <v>133.01922816000001</v>
      </c>
      <c r="K27" s="280"/>
      <c r="L27" s="280"/>
      <c r="M27" s="280"/>
      <c r="N27" s="280"/>
      <c r="O27" s="280"/>
      <c r="P27" s="280"/>
      <c r="Q27" s="280"/>
      <c r="R27" s="260"/>
      <c r="S27" s="261">
        <v>37.6</v>
      </c>
      <c r="T27" s="643"/>
      <c r="U27" s="643"/>
      <c r="V27" s="643">
        <v>5.55</v>
      </c>
      <c r="W27" s="263">
        <f t="shared" si="12"/>
        <v>5.8274999999999997</v>
      </c>
      <c r="X27" s="644">
        <f t="shared" si="13"/>
        <v>2566.7640000000001</v>
      </c>
      <c r="Y27" s="256">
        <f t="shared" si="17"/>
        <v>51.335279999999997</v>
      </c>
      <c r="Z27" s="252">
        <f t="shared" si="18"/>
        <v>20</v>
      </c>
      <c r="AA27" s="265">
        <f t="shared" si="19"/>
        <v>184.35450816000002</v>
      </c>
      <c r="AB27" s="266">
        <f t="shared" si="20"/>
        <v>92.177254080000012</v>
      </c>
      <c r="AC27" s="267">
        <f t="shared" si="14"/>
        <v>384.0718920000001</v>
      </c>
    </row>
    <row r="28" spans="1:32" s="291" customFormat="1" ht="25.5" x14ac:dyDescent="0.2">
      <c r="A28" s="281" t="s">
        <v>155</v>
      </c>
      <c r="B28" s="648" t="s">
        <v>260</v>
      </c>
      <c r="C28" s="283">
        <v>171</v>
      </c>
      <c r="D28" s="284"/>
      <c r="E28" s="284"/>
      <c r="F28" s="284"/>
      <c r="G28" s="633" t="s">
        <v>155</v>
      </c>
      <c r="H28" s="633" t="s">
        <v>155</v>
      </c>
      <c r="I28" s="285">
        <f>SUM(I24:I27)</f>
        <v>26603.845631999997</v>
      </c>
      <c r="J28" s="286">
        <f>SUM(J24:J27)</f>
        <v>1137.3144007679998</v>
      </c>
      <c r="K28" s="287"/>
      <c r="L28" s="287"/>
      <c r="M28" s="287"/>
      <c r="N28" s="287"/>
      <c r="O28" s="287"/>
      <c r="P28" s="287"/>
      <c r="Q28" s="287"/>
      <c r="R28" s="288"/>
      <c r="S28" s="633" t="s">
        <v>155</v>
      </c>
      <c r="T28" s="633" t="s">
        <v>155</v>
      </c>
      <c r="U28" s="633" t="s">
        <v>155</v>
      </c>
      <c r="V28" s="633" t="s">
        <v>155</v>
      </c>
      <c r="W28" s="633" t="s">
        <v>155</v>
      </c>
      <c r="X28" s="633" t="s">
        <v>155</v>
      </c>
      <c r="Y28" s="271">
        <f>SUM(Y24:Y27)</f>
        <v>438.91664400000002</v>
      </c>
      <c r="Z28" s="272">
        <f>+C28+K28</f>
        <v>171</v>
      </c>
      <c r="AA28" s="266">
        <f>SUM(J28+R28+Y28)</f>
        <v>1576.2310447679997</v>
      </c>
      <c r="AB28" s="273">
        <f t="shared" si="20"/>
        <v>788.11552238399986</v>
      </c>
      <c r="AC28" s="289">
        <f t="shared" si="14"/>
        <v>384.07189199999993</v>
      </c>
      <c r="AD28" s="290"/>
      <c r="AE28" s="290"/>
      <c r="AF28" s="290"/>
    </row>
    <row r="29" spans="1:32" s="291" customFormat="1" ht="25.5" x14ac:dyDescent="0.2">
      <c r="A29" s="281" t="s">
        <v>155</v>
      </c>
      <c r="B29" s="649" t="s">
        <v>261</v>
      </c>
      <c r="C29" s="283">
        <v>52</v>
      </c>
      <c r="D29" s="284"/>
      <c r="E29" s="284"/>
      <c r="F29" s="284"/>
      <c r="G29" s="633">
        <v>2.1419999999999999</v>
      </c>
      <c r="H29" s="650">
        <f t="shared" si="0"/>
        <v>3105.0239999999999</v>
      </c>
      <c r="I29" s="651">
        <f t="shared" ref="I29:I33" si="21">+G29*H29</f>
        <v>6650.9614079999992</v>
      </c>
      <c r="J29" s="271">
        <f t="shared" ref="J29:J33" si="22">I29*C29/1000</f>
        <v>345.84999321599997</v>
      </c>
      <c r="K29" s="287"/>
      <c r="L29" s="287"/>
      <c r="M29" s="287"/>
      <c r="N29" s="287"/>
      <c r="O29" s="287"/>
      <c r="P29" s="287"/>
      <c r="Q29" s="287"/>
      <c r="R29" s="288"/>
      <c r="S29" s="295">
        <v>37.6</v>
      </c>
      <c r="T29" s="652"/>
      <c r="U29" s="652"/>
      <c r="V29" s="652">
        <v>5.55</v>
      </c>
      <c r="W29" s="297">
        <f t="shared" si="12"/>
        <v>5.8274999999999997</v>
      </c>
      <c r="X29" s="653">
        <f t="shared" si="13"/>
        <v>2566.7640000000001</v>
      </c>
      <c r="Y29" s="271">
        <f t="shared" si="17"/>
        <v>133.47172800000001</v>
      </c>
      <c r="Z29" s="272">
        <f t="shared" si="18"/>
        <v>52</v>
      </c>
      <c r="AA29" s="266">
        <f t="shared" si="19"/>
        <v>479.32172121600001</v>
      </c>
      <c r="AB29" s="273">
        <f t="shared" si="20"/>
        <v>239.66086060800001</v>
      </c>
      <c r="AC29" s="289">
        <f t="shared" si="14"/>
        <v>384.07189199999999</v>
      </c>
      <c r="AD29" s="290"/>
      <c r="AE29" s="290"/>
      <c r="AF29" s="290"/>
    </row>
    <row r="30" spans="1:32" ht="51" x14ac:dyDescent="0.2">
      <c r="A30" s="276">
        <v>1</v>
      </c>
      <c r="B30" s="654" t="s">
        <v>262</v>
      </c>
      <c r="C30" s="278">
        <v>29</v>
      </c>
      <c r="D30" s="279"/>
      <c r="E30" s="279"/>
      <c r="F30" s="279"/>
      <c r="G30" s="638">
        <v>2.1419999999999999</v>
      </c>
      <c r="H30" s="639">
        <f t="shared" si="0"/>
        <v>3105.0239999999999</v>
      </c>
      <c r="I30" s="640">
        <f t="shared" si="21"/>
        <v>6650.9614079999992</v>
      </c>
      <c r="J30" s="256">
        <f t="shared" si="22"/>
        <v>192.87788083199996</v>
      </c>
      <c r="K30" s="280"/>
      <c r="L30" s="280"/>
      <c r="M30" s="280"/>
      <c r="N30" s="280"/>
      <c r="O30" s="280"/>
      <c r="P30" s="280"/>
      <c r="Q30" s="280"/>
      <c r="R30" s="260"/>
      <c r="S30" s="261">
        <v>37.6</v>
      </c>
      <c r="T30" s="643"/>
      <c r="U30" s="643"/>
      <c r="V30" s="643">
        <v>5.55</v>
      </c>
      <c r="W30" s="263">
        <f t="shared" si="12"/>
        <v>5.8274999999999997</v>
      </c>
      <c r="X30" s="644">
        <f t="shared" si="13"/>
        <v>2566.7640000000001</v>
      </c>
      <c r="Y30" s="256">
        <f t="shared" si="17"/>
        <v>74.436155999999997</v>
      </c>
      <c r="Z30" s="252">
        <f>+C30+K30</f>
        <v>29</v>
      </c>
      <c r="AA30" s="265">
        <f>SUM(J30+R30+Y30)</f>
        <v>267.31403683199994</v>
      </c>
      <c r="AB30" s="266">
        <f>AA30/2</f>
        <v>133.65701841599997</v>
      </c>
      <c r="AC30" s="267">
        <f t="shared" si="14"/>
        <v>384.07189199999993</v>
      </c>
    </row>
    <row r="31" spans="1:32" ht="63.75" x14ac:dyDescent="0.2">
      <c r="A31" s="276">
        <v>2</v>
      </c>
      <c r="B31" s="654" t="s">
        <v>263</v>
      </c>
      <c r="C31" s="278">
        <v>27</v>
      </c>
      <c r="D31" s="279"/>
      <c r="E31" s="279"/>
      <c r="F31" s="279"/>
      <c r="G31" s="638">
        <v>2.1419999999999999</v>
      </c>
      <c r="H31" s="639">
        <f t="shared" si="0"/>
        <v>3105.0239999999999</v>
      </c>
      <c r="I31" s="640">
        <f t="shared" si="21"/>
        <v>6650.9614079999992</v>
      </c>
      <c r="J31" s="256">
        <f t="shared" si="22"/>
        <v>179.57595801599999</v>
      </c>
      <c r="K31" s="280"/>
      <c r="L31" s="280"/>
      <c r="M31" s="280"/>
      <c r="N31" s="280"/>
      <c r="O31" s="280"/>
      <c r="P31" s="280"/>
      <c r="Q31" s="280"/>
      <c r="R31" s="260"/>
      <c r="S31" s="261">
        <v>37.6</v>
      </c>
      <c r="T31" s="643"/>
      <c r="U31" s="643"/>
      <c r="V31" s="643">
        <v>5.55</v>
      </c>
      <c r="W31" s="263">
        <f t="shared" si="12"/>
        <v>5.8274999999999997</v>
      </c>
      <c r="X31" s="644">
        <f t="shared" si="13"/>
        <v>2566.7640000000001</v>
      </c>
      <c r="Y31" s="256">
        <f>Z31*X31/1000</f>
        <v>69.302627999999999</v>
      </c>
      <c r="Z31" s="252">
        <f t="shared" si="18"/>
        <v>27</v>
      </c>
      <c r="AA31" s="265">
        <f t="shared" si="19"/>
        <v>248.87858601599999</v>
      </c>
      <c r="AB31" s="266">
        <f t="shared" si="20"/>
        <v>124.43929300799999</v>
      </c>
      <c r="AC31" s="267">
        <f t="shared" si="14"/>
        <v>384.07189199999999</v>
      </c>
    </row>
    <row r="32" spans="1:32" ht="51" x14ac:dyDescent="0.2">
      <c r="A32" s="276">
        <v>3</v>
      </c>
      <c r="B32" s="654" t="s">
        <v>264</v>
      </c>
      <c r="C32" s="278">
        <v>34</v>
      </c>
      <c r="D32" s="279"/>
      <c r="E32" s="279"/>
      <c r="F32" s="279"/>
      <c r="G32" s="638">
        <v>2.1419999999999999</v>
      </c>
      <c r="H32" s="639">
        <f t="shared" si="0"/>
        <v>3105.0239999999999</v>
      </c>
      <c r="I32" s="640">
        <f t="shared" si="21"/>
        <v>6650.9614079999992</v>
      </c>
      <c r="J32" s="256">
        <f t="shared" si="22"/>
        <v>226.13268787199999</v>
      </c>
      <c r="K32" s="280"/>
      <c r="L32" s="280"/>
      <c r="M32" s="280"/>
      <c r="N32" s="280"/>
      <c r="O32" s="280"/>
      <c r="P32" s="280"/>
      <c r="Q32" s="280"/>
      <c r="R32" s="260"/>
      <c r="S32" s="261">
        <v>37.6</v>
      </c>
      <c r="T32" s="643"/>
      <c r="U32" s="643"/>
      <c r="V32" s="643">
        <v>5.55</v>
      </c>
      <c r="W32" s="263">
        <f t="shared" si="12"/>
        <v>5.8274999999999997</v>
      </c>
      <c r="X32" s="644">
        <f t="shared" si="13"/>
        <v>2566.7640000000001</v>
      </c>
      <c r="Y32" s="256">
        <f t="shared" si="17"/>
        <v>87.269976000000014</v>
      </c>
      <c r="Z32" s="252">
        <f t="shared" si="18"/>
        <v>34</v>
      </c>
      <c r="AA32" s="265">
        <f t="shared" si="19"/>
        <v>313.40266387200001</v>
      </c>
      <c r="AB32" s="266">
        <f t="shared" si="20"/>
        <v>156.701331936</v>
      </c>
      <c r="AC32" s="267">
        <f t="shared" si="14"/>
        <v>384.07189199999999</v>
      </c>
    </row>
    <row r="33" spans="1:32" ht="39.75" customHeight="1" x14ac:dyDescent="0.2">
      <c r="A33" s="276">
        <v>4</v>
      </c>
      <c r="B33" s="655" t="s">
        <v>265</v>
      </c>
      <c r="C33" s="278">
        <v>52</v>
      </c>
      <c r="D33" s="279"/>
      <c r="E33" s="279"/>
      <c r="F33" s="279"/>
      <c r="G33" s="638">
        <v>2.1419999999999999</v>
      </c>
      <c r="H33" s="639">
        <f t="shared" si="0"/>
        <v>3105.0239999999999</v>
      </c>
      <c r="I33" s="640">
        <f t="shared" si="21"/>
        <v>6650.9614079999992</v>
      </c>
      <c r="J33" s="256">
        <f t="shared" si="22"/>
        <v>345.84999321599997</v>
      </c>
      <c r="K33" s="280"/>
      <c r="L33" s="280"/>
      <c r="M33" s="280"/>
      <c r="N33" s="280"/>
      <c r="O33" s="280"/>
      <c r="P33" s="280"/>
      <c r="Q33" s="280"/>
      <c r="R33" s="260"/>
      <c r="S33" s="261">
        <v>37.6</v>
      </c>
      <c r="T33" s="643"/>
      <c r="U33" s="643"/>
      <c r="V33" s="643">
        <v>5.55</v>
      </c>
      <c r="W33" s="263">
        <f t="shared" si="12"/>
        <v>5.8274999999999997</v>
      </c>
      <c r="X33" s="644">
        <f t="shared" si="13"/>
        <v>2566.7640000000001</v>
      </c>
      <c r="Y33" s="256">
        <f t="shared" si="17"/>
        <v>133.47172800000001</v>
      </c>
      <c r="Z33" s="252">
        <f t="shared" si="18"/>
        <v>52</v>
      </c>
      <c r="AA33" s="265">
        <f t="shared" si="19"/>
        <v>479.32172121600001</v>
      </c>
      <c r="AB33" s="266">
        <f t="shared" si="20"/>
        <v>239.66086060800001</v>
      </c>
      <c r="AC33" s="267">
        <f t="shared" si="14"/>
        <v>384.07189199999999</v>
      </c>
    </row>
    <row r="34" spans="1:32" s="291" customFormat="1" x14ac:dyDescent="0.2">
      <c r="A34" s="281" t="s">
        <v>155</v>
      </c>
      <c r="B34" s="648" t="s">
        <v>266</v>
      </c>
      <c r="C34" s="301">
        <f>SUM(C30:C33)</f>
        <v>142</v>
      </c>
      <c r="D34" s="287"/>
      <c r="E34" s="287"/>
      <c r="F34" s="287"/>
      <c r="G34" s="633" t="s">
        <v>155</v>
      </c>
      <c r="H34" s="633" t="s">
        <v>155</v>
      </c>
      <c r="I34" s="302">
        <f>SUM(I30:I33)</f>
        <v>26603.845631999997</v>
      </c>
      <c r="J34" s="303">
        <f>SUM(J30:J33)</f>
        <v>944.43651993599997</v>
      </c>
      <c r="K34" s="302">
        <f>SUM(K30:K33)</f>
        <v>0</v>
      </c>
      <c r="L34" s="287"/>
      <c r="M34" s="287"/>
      <c r="N34" s="287"/>
      <c r="O34" s="633" t="s">
        <v>155</v>
      </c>
      <c r="P34" s="633" t="s">
        <v>155</v>
      </c>
      <c r="Q34" s="633" t="s">
        <v>155</v>
      </c>
      <c r="R34" s="303">
        <f>SUM(R30:R33)</f>
        <v>0</v>
      </c>
      <c r="S34" s="295">
        <v>37.6</v>
      </c>
      <c r="T34" s="652"/>
      <c r="U34" s="652"/>
      <c r="V34" s="652">
        <v>5.55</v>
      </c>
      <c r="W34" s="297">
        <f t="shared" si="12"/>
        <v>5.8274999999999997</v>
      </c>
      <c r="X34" s="653">
        <f>(S34*V34*6)+(S34*W34*6)</f>
        <v>2566.7640000000001</v>
      </c>
      <c r="Y34" s="271">
        <f t="shared" si="17"/>
        <v>364.48048800000004</v>
      </c>
      <c r="Z34" s="304">
        <f>+C34+K34</f>
        <v>142</v>
      </c>
      <c r="AA34" s="266">
        <f t="shared" si="19"/>
        <v>1308.9170079360001</v>
      </c>
      <c r="AB34" s="273">
        <f t="shared" si="20"/>
        <v>654.45850396800006</v>
      </c>
      <c r="AC34" s="289">
        <f t="shared" si="14"/>
        <v>384.0718920000001</v>
      </c>
      <c r="AD34" s="290"/>
      <c r="AE34" s="290"/>
      <c r="AF34" s="290"/>
    </row>
    <row r="35" spans="1:32" s="291" customFormat="1" x14ac:dyDescent="0.2">
      <c r="A35" s="281" t="s">
        <v>155</v>
      </c>
      <c r="B35" s="656" t="s">
        <v>90</v>
      </c>
      <c r="C35" s="306">
        <f>C34+C28+C29+C23</f>
        <v>6606</v>
      </c>
      <c r="D35" s="287"/>
      <c r="E35" s="287"/>
      <c r="F35" s="287"/>
      <c r="G35" s="633" t="s">
        <v>155</v>
      </c>
      <c r="H35" s="633" t="s">
        <v>155</v>
      </c>
      <c r="I35" s="307">
        <f>I34+I28+I29+I23</f>
        <v>159623.07379200001</v>
      </c>
      <c r="J35" s="308">
        <f>J34+J28+J29+J23</f>
        <v>43936.251061247996</v>
      </c>
      <c r="K35" s="306">
        <f>K34+K28+K29+K23</f>
        <v>310</v>
      </c>
      <c r="L35" s="287"/>
      <c r="M35" s="287"/>
      <c r="N35" s="287"/>
      <c r="O35" s="633" t="s">
        <v>155</v>
      </c>
      <c r="P35" s="633" t="s">
        <v>155</v>
      </c>
      <c r="Q35" s="633" t="s">
        <v>155</v>
      </c>
      <c r="R35" s="309">
        <f>R34+R28+R29+R23</f>
        <v>1506.6</v>
      </c>
      <c r="S35" s="633" t="s">
        <v>155</v>
      </c>
      <c r="T35" s="633" t="s">
        <v>155</v>
      </c>
      <c r="U35" s="633" t="s">
        <v>155</v>
      </c>
      <c r="V35" s="633" t="s">
        <v>155</v>
      </c>
      <c r="W35" s="633" t="s">
        <v>155</v>
      </c>
      <c r="X35" s="633" t="s">
        <v>155</v>
      </c>
      <c r="Y35" s="309">
        <f>Y34+Y28+Y29+Y23</f>
        <v>8854.5495840000003</v>
      </c>
      <c r="Z35" s="310">
        <f>+C35+K35</f>
        <v>6916</v>
      </c>
      <c r="AA35" s="266">
        <f>SUM(J35+R35+Y35)</f>
        <v>54297.400645247995</v>
      </c>
      <c r="AB35" s="273">
        <f>AA35/2</f>
        <v>27148.700322623998</v>
      </c>
      <c r="AC35" s="289">
        <f t="shared" si="14"/>
        <v>327.12430502486984</v>
      </c>
      <c r="AD35" s="290"/>
      <c r="AE35" s="290"/>
      <c r="AF35" s="290"/>
    </row>
    <row r="36" spans="1:32" x14ac:dyDescent="0.2">
      <c r="A36" s="276"/>
      <c r="B36" s="280"/>
    </row>
  </sheetData>
  <mergeCells count="10">
    <mergeCell ref="AA2:AA3"/>
    <mergeCell ref="AB2:AB3"/>
    <mergeCell ref="AC2:AC3"/>
    <mergeCell ref="C1:Z1"/>
    <mergeCell ref="A2:A3"/>
    <mergeCell ref="B2:B3"/>
    <mergeCell ref="C2:J2"/>
    <mergeCell ref="K2:R2"/>
    <mergeCell ref="S2:Y2"/>
    <mergeCell ref="Z2:Z3"/>
  </mergeCells>
  <printOptions horizontalCentered="1"/>
  <pageMargins left="0.23622047244094491" right="0.23622047244094491" top="1.3385826771653544" bottom="0.74803149606299213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19</vt:i4>
      </vt:variant>
    </vt:vector>
  </HeadingPairs>
  <TitlesOfParts>
    <vt:vector size="39" baseType="lpstr">
      <vt:lpstr>1_краснод на 2021</vt:lpstr>
      <vt:lpstr>1_краснодипломники</vt:lpstr>
      <vt:lpstr>2_Дети-сироты в СПО 2022</vt:lpstr>
      <vt:lpstr>2_Дети-сироты в СПО 2022 -прав</vt:lpstr>
      <vt:lpstr>3_Стипендии </vt:lpstr>
      <vt:lpstr>4_ГорпитОВЗ</vt:lpstr>
      <vt:lpstr>5_Сельские образование 2021</vt:lpstr>
      <vt:lpstr>5_Сельские образ-е 2021 (2)</vt:lpstr>
      <vt:lpstr>Сельские образование 2021</vt:lpstr>
      <vt:lpstr>6-родплата</vt:lpstr>
      <vt:lpstr>6.1_родплата 26.10.2021 кон</vt:lpstr>
      <vt:lpstr>7_дети-чабаны</vt:lpstr>
      <vt:lpstr>8_мед осмотр</vt:lpstr>
      <vt:lpstr>9_Частные сады</vt:lpstr>
      <vt:lpstr>10_Учебники</vt:lpstr>
      <vt:lpstr>11_ЛОК</vt:lpstr>
      <vt:lpstr>12_Расшифр.тек.ремонт</vt:lpstr>
      <vt:lpstr>+</vt:lpstr>
      <vt:lpstr>курсы</vt:lpstr>
      <vt:lpstr>питание (340)</vt:lpstr>
      <vt:lpstr>'5_Сельские образ-е 2021 (2)'!Заголовки_для_печати</vt:lpstr>
      <vt:lpstr>'5_Сельские образование 2021'!Заголовки_для_печати</vt:lpstr>
      <vt:lpstr>'Сельские образование 2021'!Заголовки_для_печати</vt:lpstr>
      <vt:lpstr>'+'!Область_печати</vt:lpstr>
      <vt:lpstr>'1_краснодипломники'!Область_печати</vt:lpstr>
      <vt:lpstr>'10_Учебники'!Область_печати</vt:lpstr>
      <vt:lpstr>'11_ЛОК'!Область_печати</vt:lpstr>
      <vt:lpstr>'12_Расшифр.тек.ремонт'!Область_печати</vt:lpstr>
      <vt:lpstr>'2_Дети-сироты в СПО 2022'!Область_печати</vt:lpstr>
      <vt:lpstr>'2_Дети-сироты в СПО 2022 -прав'!Область_печати</vt:lpstr>
      <vt:lpstr>'3_Стипендии '!Область_печати</vt:lpstr>
      <vt:lpstr>'5_Сельские образ-е 2021 (2)'!Область_печати</vt:lpstr>
      <vt:lpstr>'5_Сельские образование 2021'!Область_печати</vt:lpstr>
      <vt:lpstr>'6.1_родплата 26.10.2021 кон'!Область_печати</vt:lpstr>
      <vt:lpstr>'6-родплата'!Область_печати</vt:lpstr>
      <vt:lpstr>'9_Частные сады'!Область_печати</vt:lpstr>
      <vt:lpstr>курсы!Область_печати</vt:lpstr>
      <vt:lpstr>'питание (340)'!Область_печати</vt:lpstr>
      <vt:lpstr>'Сельские образование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2021-11-02T13:46:01Z</dcterms:modified>
</cp:coreProperties>
</file>